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L4"/>
  <c r="M4"/>
  <c r="N4"/>
  <c r="O4"/>
  <c r="P4"/>
  <c r="Q4"/>
  <c r="J4"/>
  <c r="I4"/>
  <c r="H4"/>
  <c r="G4"/>
  <c r="F4"/>
  <c r="E4"/>
  <c r="D4"/>
  <c r="C4"/>
  <c r="Q105"/>
  <c r="P105"/>
  <c r="O105"/>
  <c r="N105"/>
  <c r="M105"/>
  <c r="L105"/>
  <c r="K105"/>
  <c r="J105"/>
  <c r="I105"/>
  <c r="H105"/>
  <c r="G105"/>
  <c r="F105"/>
  <c r="E105"/>
  <c r="D105"/>
  <c r="C105"/>
  <c r="Q104"/>
  <c r="P104"/>
  <c r="O104"/>
  <c r="N104"/>
  <c r="M104"/>
  <c r="L104"/>
  <c r="K104"/>
  <c r="J104"/>
  <c r="I104"/>
  <c r="H104"/>
  <c r="G104"/>
  <c r="F104"/>
  <c r="E104"/>
  <c r="D104"/>
  <c r="C104"/>
  <c r="Q103"/>
  <c r="P103"/>
  <c r="O103"/>
  <c r="N103"/>
  <c r="M103"/>
  <c r="L103"/>
  <c r="K103"/>
  <c r="J103"/>
  <c r="I103"/>
  <c r="H103"/>
  <c r="G103"/>
  <c r="F103"/>
  <c r="E103"/>
  <c r="D103"/>
  <c r="C103"/>
  <c r="Q102"/>
  <c r="P102"/>
  <c r="O102"/>
  <c r="N102"/>
  <c r="M102"/>
  <c r="L102"/>
  <c r="K102"/>
  <c r="J102"/>
  <c r="I102"/>
  <c r="H102"/>
  <c r="G102"/>
  <c r="F102"/>
  <c r="E102"/>
  <c r="D102"/>
  <c r="C102"/>
  <c r="Q101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3"/>
  <c r="P73"/>
  <c r="O73"/>
  <c r="N73"/>
  <c r="M73"/>
  <c r="L73"/>
  <c r="K73"/>
  <c r="Q70"/>
  <c r="Q71"/>
  <c r="Q72"/>
  <c r="P70"/>
  <c r="P71"/>
  <c r="P72"/>
  <c r="O70"/>
  <c r="O71"/>
  <c r="O72"/>
  <c r="N70"/>
  <c r="N71"/>
  <c r="N72"/>
  <c r="M70"/>
  <c r="M71"/>
  <c r="M72"/>
  <c r="L70"/>
  <c r="L71"/>
  <c r="L72"/>
  <c r="K70"/>
  <c r="K71"/>
  <c r="K72"/>
  <c r="Q69"/>
  <c r="P69"/>
  <c r="O69"/>
  <c r="N69"/>
  <c r="M69"/>
  <c r="L69"/>
  <c r="K69"/>
  <c r="Q66"/>
  <c r="P66"/>
  <c r="O66"/>
  <c r="N66"/>
  <c r="M66"/>
  <c r="L66"/>
  <c r="K66"/>
  <c r="Q65"/>
  <c r="P65"/>
  <c r="O65"/>
  <c r="N65"/>
  <c r="M65"/>
  <c r="L65"/>
  <c r="K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Q60"/>
  <c r="P60"/>
  <c r="O60"/>
  <c r="N60"/>
  <c r="M60"/>
  <c r="L60"/>
  <c r="K60"/>
  <c r="Q59"/>
  <c r="P59"/>
  <c r="O59"/>
  <c r="N59"/>
  <c r="M59"/>
  <c r="L59"/>
  <c r="K59"/>
  <c r="Q58"/>
  <c r="Q68"/>
  <c r="Q67"/>
  <c r="P58"/>
  <c r="P68"/>
  <c r="P67"/>
  <c r="O58"/>
  <c r="O68"/>
  <c r="O67"/>
  <c r="N58"/>
  <c r="N68"/>
  <c r="N67"/>
  <c r="M58"/>
  <c r="M68"/>
  <c r="M67"/>
  <c r="L58"/>
  <c r="L68"/>
  <c r="L67"/>
  <c r="K58"/>
  <c r="K68"/>
  <c r="K6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Q8"/>
  <c r="P8"/>
  <c r="O8"/>
  <c r="N8"/>
  <c r="M8"/>
  <c r="L8"/>
  <c r="K8"/>
  <c r="J8"/>
  <c r="I8"/>
  <c r="H8"/>
  <c r="G8"/>
  <c r="F8"/>
  <c r="E8"/>
  <c r="D8"/>
  <c r="C8"/>
  <c r="Q7"/>
  <c r="P7"/>
  <c r="O7"/>
  <c r="N7"/>
  <c r="M7"/>
  <c r="L7"/>
  <c r="K7"/>
  <c r="J7"/>
  <c r="I7"/>
  <c r="H7"/>
  <c r="G7"/>
  <c r="F7"/>
  <c r="E7"/>
  <c r="D7"/>
  <c r="C7"/>
  <c r="Q6"/>
  <c r="P6"/>
  <c r="O6"/>
  <c r="N6"/>
  <c r="M6"/>
  <c r="L6"/>
  <c r="K6"/>
  <c r="J6"/>
  <c r="I6"/>
  <c r="H6"/>
  <c r="G6"/>
  <c r="F6"/>
  <c r="E6"/>
  <c r="D6"/>
  <c r="C6"/>
  <c r="Q5"/>
  <c r="P5"/>
  <c r="O5"/>
  <c r="N5"/>
  <c r="M5"/>
  <c r="L5"/>
  <c r="K5"/>
  <c r="J5"/>
  <c r="I5"/>
  <c r="H5"/>
  <c r="G5"/>
  <c r="F5"/>
  <c r="E5"/>
  <c r="D5"/>
  <c r="C5"/>
</calcChain>
</file>

<file path=xl/sharedStrings.xml><?xml version="1.0" encoding="utf-8"?>
<sst xmlns="http://schemas.openxmlformats.org/spreadsheetml/2006/main">
  <si>
    <t xml:space="preserve">Wykonanie </t>
  </si>
  <si>
    <t>Plan 3 kw.</t>
  </si>
  <si>
    <t>Lp.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</si>
  <si>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</si>
  <si>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</si>
  <si>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</si>
  <si>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</si>
  <si>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</si>
  <si>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</si>
  <si>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</si>
  <si>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</si>
  <si>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</si>
  <si>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</si>
  <si>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</si>
  <si>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</si>
  <si>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</si>
  <si>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</si>
  <si>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</si>
  <si>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</si>
  <si>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</si>
  <si>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</si>
  <si>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</si>
  <si>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</si>
  <si>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</si>
  <si>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</si>
  <si>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</si>
  <si>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</si>
  <si>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</si>
  <si>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</si>
  <si>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</si>
  <si>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</si>
  <si>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</si>
  <si>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</si>
  <si>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</si>
  <si>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</si>
  <si>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</si>
  <si>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</si>
  <si>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</si>
  <si>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</si>
  <si>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</si>
  <si>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</si>
  <si>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</si>
  <si>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</si>
  <si>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</si>
  <si>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</si>
  <si>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</si>
  <si>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</si>
  <si>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</si>
  <si>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</si>
  <si>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</si>
  <si>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</si>
  <si>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</si>
  <si>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</si>
  <si>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</si>
  <si>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</si>
  <si>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</si>
  <si>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</si>
  <si>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</si>
  <si>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</si>
  <si>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</si>
  <si>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</si>
  <si>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</si>
  <si>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</si>
  <si>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</si>
  <si>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</si>
  <si>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</si>
  <si>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</si>
  <si>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</si>
  <si>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</si>
  <si>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</si>
  <si>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</si>
  <si>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</si>
  <si>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</si>
  <si>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</si>
  <si>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</si>
  <si>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</si>
  <si>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</si>
  <si>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</si>
  <si>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</si>
  <si>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</si>
  <si>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</si>
  <si>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</si>
  <si>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</si>
  <si>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</si>
  <si>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</si>
  <si>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</si>
  <si>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</si>
  <si>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</si>
  <si>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</si>
  <si>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</si>
  <si>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</si>
  <si>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</si>
  <si>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</si>
  <si>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</si>
  <si>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</si>
  <si>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</si>
  <si>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</si>
  <si>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</si>
  <si>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</si>
  <si>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</si>
  <si>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</si>
  <si>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</t>
  </si>
  <si>
    <t>8.1_vROD_2020</t>
  </si>
  <si>
    <t>8.1_vROD_2026</t>
  </si>
  <si>
    <t>8.1_vROD_2023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</si>
  <si>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</si>
  <si>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</si>
  <si>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</si>
  <si>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</si>
  <si>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</si>
  <si>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</t>
  </si>
  <si>
    <t>8.3.1</t>
  </si>
  <si>
    <t xml:space="preserve">Dopuszczalny limit spłaty zobowiązań określony po prawej stronie nierówności we wzorze, o którym mowa w art. 243 ustawy, po uwzględnieniu ustawowych wyłączeń, obliczony w oparciu o wykonanie roku poprzedzającego pierwszy rok prognozy (wskaźnik ustalony w 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</si>
  <si>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</si>
  <si>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</si>
  <si>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</si>
  <si>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</t>
  </si>
  <si>
    <t>art15zoc_ZD</t>
  </si>
  <si>
    <t xml:space="preserve">Relacja kwoty długu do dochodów ogółem </t>
  </si>
  <si>
    <t>art15zoc_8.1_ROD</t>
  </si>
  <si>
    <t xml:space="preserve">Relacja określona po lewej stronie nierówności we wzorze, o którym mowa w art. 243 ust. 1 ustawy (po uwzględnieniu zobowiązań związku współtworzonego przez jednostkę samorządu terytorialnego oraz po uwzględnieniu ustawowych wyłączeń bez art. 15zob ust. 1 </t>
  </si>
  <si>
    <t>art15zoc_8.4</t>
  </si>
  <si>
    <t xml:space="preserve">Informacja o spełnieniu wskaźnika spłaty zobowiązań określonego w art. 243 ustawy, po uwzględnieniu zobowiązań związku współtworzonego przez jednostkę samorządu terytorialnego oraz po uwzględnieniu ustawowych wyłączeń bez art. 15zob ust. 1, obliczonego w </t>
  </si>
  <si>
    <t>art15zoc_8.4.1</t>
  </si>
  <si>
    <t>art7_1</t>
  </si>
  <si>
    <t>Relacja łącznej kwoty długu do dochodów ogółem, pomniejszonych o planowane kwoty dotacji i środki o pododbnym charakterze oraz powiększone o przychody z tytułów określonych w art. 217 ust. 2 pkt 4-8, nieprzeznaczone na sfinansowanie deficytu budżetowego (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</si>
  <si>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</si>
  <si>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</si>
  <si>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</si>
  <si>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</si>
  <si>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</si>
  <si>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</si>
  <si>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</si>
  <si>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</si>
  <si>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</si>
  <si>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</si>
  <si>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</si>
  <si>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</si>
  <si>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</si>
  <si>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</si>
  <si>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</si>
  <si>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</si>
  <si>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</si>
  <si>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</si>
  <si>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</si>
  <si>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</si>
  <si>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</si>
  <si>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</si>
  <si>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</si>
  <si>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</si>
  <si>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</si>
  <si>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</si>
  <si>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</si>
  <si>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</si>
  <si>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</si>
  <si>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</si>
  <si>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</si>
  <si>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</si>
  <si>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</si>
  <si>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</si>
  <si>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</si>
  <si>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</si>
  <si>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</si>
  <si>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</si>
  <si>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</si>
  <si>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</si>
  <si>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</si>
  <si>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</si>
  <si>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</si>
  <si>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</si>
  <si>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</si>
  <si>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</si>
  <si>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</si>
  <si>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</si>
  <si>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</si>
  <si>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</si>
  <si>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</si>
  <si>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</si>
  <si>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</si>
  <si>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</si>
  <si>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</si>
  <si>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</si>
  <si>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</si>
  <si>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</t>
  </si>
  <si>
    <t>10.11</t>
  </si>
  <si>
    <t>Wydatki bieżące podlegające ustawowemu wyłączeniu z limitu spłaty zobowiązań</t>
  </si>
</sst>
</file>

<file path=xl/styles.xml><?xml version="1.0" encoding="utf-8"?>
<styleSheet xmlns="http://schemas.openxmlformats.org/spreadsheetml/2006/main">
  <numFmts count="1">
    <numFmt numFmtId="164" formatCode="#,##0.00_ ;[Red]-#,##0.00 "/>
  </numFmts>
  <fonts count="9">
    <font>
      <sz val="10"/>
      <color theme="1"/>
      <name val="Arial"/>
      <family val="2"/>
    </font>
    <font>
      <sz val="9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Czcionka tekstu podstawowego"/>
      <family val="0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none">
        <fgColor indexed="64"/>
        <bgColor indexed="65"/>
      </patternFill>
    </fill>
  </fills>
  <borders count="15">
    <border/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>
        <color indexed="0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</borders>
  <cellStyleXfs count="5">
    <xf numFmtId="0" fontId="0" fillId="0" borderId="0"/>
    <xf numFmtId="0" fontId="8" fillId="4" borderId="14"/>
    <xf numFmtId="0" fontId="8" fillId="4" borderId="14"/>
    <xf numFmtId="0" fontId="8" fillId="4" borderId="14"/>
    <xf numFmtId="0" fontId="8" fillId="4" borderId="14"/>
  </cellStyleXfs>
  <cellXfs count="5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left" vertical="center"/>
    </xf>
    <xf numFmtId="1" fontId="2" fillId="2" borderId="4" xfId="1" applyNumberFormat="1" applyFont="1" applyFill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/>
    </xf>
    <xf numFmtId="1" fontId="2" fillId="2" borderId="5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164" fontId="5" fillId="3" borderId="8" xfId="1" applyNumberFormat="1" applyFont="1" applyFill="1" applyBorder="1" applyAlignment="1">
      <alignment vertical="center" shrinkToFit="1"/>
    </xf>
    <xf numFmtId="164" fontId="5" fillId="3" borderId="9" xfId="1" applyNumberFormat="1" applyFont="1" applyFill="1" applyBorder="1" applyAlignment="1">
      <alignment vertical="center" shrinkToFit="1"/>
    </xf>
    <xf numFmtId="164" fontId="5" fillId="3" borderId="7" xfId="1" applyNumberFormat="1" applyFont="1" applyFill="1" applyBorder="1" applyAlignment="1">
      <alignment vertical="center" shrinkToFit="1"/>
    </xf>
    <xf numFmtId="164" fontId="5" fillId="4" borderId="8" xfId="1" applyNumberFormat="1" applyFont="1" applyBorder="1" applyAlignment="1">
      <alignment vertical="center" shrinkToFit="1"/>
    </xf>
    <xf numFmtId="164" fontId="5" fillId="4" borderId="9" xfId="1" applyNumberFormat="1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164" fontId="7" fillId="3" borderId="12" xfId="1" applyNumberFormat="1" applyFont="1" applyFill="1" applyBorder="1" applyAlignment="1">
      <alignment vertical="center" shrinkToFit="1"/>
    </xf>
    <xf numFmtId="164" fontId="7" fillId="3" borderId="13" xfId="1" applyNumberFormat="1" applyFont="1" applyFill="1" applyBorder="1" applyAlignment="1">
      <alignment vertical="center" shrinkToFit="1"/>
    </xf>
    <xf numFmtId="164" fontId="7" fillId="3" borderId="11" xfId="1" applyNumberFormat="1" applyFont="1" applyFill="1" applyBorder="1" applyAlignment="1">
      <alignment vertical="center" shrinkToFit="1"/>
    </xf>
    <xf numFmtId="164" fontId="7" fillId="4" borderId="12" xfId="1" applyNumberFormat="1" applyFont="1" applyBorder="1" applyAlignment="1">
      <alignment vertical="center" shrinkToFit="1"/>
    </xf>
    <xf numFmtId="164" fontId="7" fillId="4" borderId="13" xfId="1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164" fontId="5" fillId="3" borderId="12" xfId="1" applyNumberFormat="1" applyFont="1" applyFill="1" applyBorder="1" applyAlignment="1">
      <alignment vertical="center" shrinkToFit="1"/>
    </xf>
    <xf numFmtId="164" fontId="5" fillId="3" borderId="13" xfId="1" applyNumberFormat="1" applyFont="1" applyFill="1" applyBorder="1" applyAlignment="1">
      <alignment vertical="center" shrinkToFit="1"/>
    </xf>
    <xf numFmtId="164" fontId="5" fillId="3" borderId="11" xfId="1" applyNumberFormat="1" applyFont="1" applyFill="1" applyBorder="1" applyAlignment="1">
      <alignment vertical="center" shrinkToFit="1"/>
    </xf>
    <xf numFmtId="164" fontId="5" fillId="4" borderId="12" xfId="1" applyNumberFormat="1" applyFont="1" applyBorder="1" applyAlignment="1">
      <alignment vertical="center" shrinkToFit="1"/>
    </xf>
    <xf numFmtId="164" fontId="5" fillId="4" borderId="13" xfId="1" applyNumberFormat="1" applyFont="1" applyBorder="1" applyAlignment="1">
      <alignment vertical="center" shrinkToFit="1"/>
    </xf>
    <xf numFmtId="164" fontId="5" fillId="3" borderId="12" xfId="1" applyNumberFormat="1" applyFont="1" applyFill="1" applyBorder="1" applyAlignment="1">
      <alignment horizontal="center" vertical="center" shrinkToFit="1"/>
    </xf>
    <xf numFmtId="164" fontId="5" fillId="3" borderId="13" xfId="1" applyNumberFormat="1" applyFont="1" applyFill="1" applyBorder="1" applyAlignment="1">
      <alignment horizontal="center" vertical="center" shrinkToFit="1"/>
    </xf>
    <xf numFmtId="164" fontId="5" fillId="3" borderId="11" xfId="1" applyNumberFormat="1" applyFont="1" applyFill="1" applyBorder="1" applyAlignment="1">
      <alignment horizontal="center" vertical="center" shrinkToFit="1"/>
    </xf>
    <xf numFmtId="164" fontId="5" fillId="4" borderId="12" xfId="1" applyNumberFormat="1" applyFont="1" applyBorder="1" applyAlignment="1">
      <alignment horizontal="center" vertical="center" shrinkToFit="1"/>
    </xf>
    <xf numFmtId="164" fontId="5" fillId="4" borderId="13" xfId="1" applyNumberFormat="1" applyFont="1" applyBorder="1" applyAlignment="1">
      <alignment horizontal="center" vertical="center" shrinkToFi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10" fontId="7" fillId="4" borderId="12" xfId="1" applyNumberFormat="1" applyFont="1" applyBorder="1" applyAlignment="1">
      <alignment vertical="center" shrinkToFit="1"/>
    </xf>
    <xf numFmtId="10" fontId="7" fillId="4" borderId="13" xfId="1" applyNumberFormat="1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 wrapText="1"/>
    </xf>
    <xf numFmtId="10" fontId="7" fillId="3" borderId="12" xfId="1" applyNumberFormat="1" applyFont="1" applyFill="1" applyBorder="1" applyAlignment="1">
      <alignment vertical="center" shrinkToFit="1"/>
    </xf>
    <xf numFmtId="10" fontId="7" fillId="3" borderId="13" xfId="1" applyNumberFormat="1" applyFont="1" applyFill="1" applyBorder="1" applyAlignment="1">
      <alignment vertical="center" shrinkToFit="1"/>
    </xf>
    <xf numFmtId="10" fontId="7" fillId="3" borderId="11" xfId="1" applyNumberFormat="1" applyFont="1" applyFill="1" applyBorder="1" applyAlignment="1">
      <alignment vertical="center" shrinkToFit="1"/>
    </xf>
    <xf numFmtId="164" fontId="7" fillId="4" borderId="13" xfId="1" applyNumberFormat="1" applyFont="1" applyBorder="1" applyAlignment="1">
      <alignment horizontal="center" vertical="center" shrinkToFit="1"/>
    </xf>
    <xf numFmtId="164" fontId="7" fillId="4" borderId="12" xfId="1" applyNumberFormat="1" applyFont="1" applyBorder="1" applyAlignment="1">
      <alignment horizontal="center" vertical="center" shrinkToFit="1"/>
    </xf>
  </cellXfs>
  <cellStyles count="5">
    <cellStyle name="Normal" xfId="0" builtinId="0"/>
    <cellStyle name="Normalny 6 2 4" xfId="1"/>
    <cellStyle name="Normalny 6 2 3" xfId="2"/>
    <cellStyle name="Normalny 6 2 2" xfId="3"/>
    <cellStyle name="Normalny 6 2" xfId="4"/>
  </cellStyles>
  <dxfs count="1">
    <dxf>
      <font>
        <b/>
        <i val="0"/>
        <color rgb="FFFF0000"/>
        <family val="0"/>
        <charset val="0"/>
      </font>
      <fill>
        <patternFill>
          <bgColor rgb="FFFFFF00"/>
        </patternFill>
      </fill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B88">
      <selection activeCell="S21" sqref="S21"/>
    </sheetView>
  </sheetViews>
  <sheetFormatPr defaultRowHeight="12.6"/>
  <cols>
    <col min="1" max="1" width="7.86" customWidth="1"/>
    <col min="2" max="2" width="45.57" style="1" bestFit="1" customWidth="1"/>
    <col min="3" max="3" width="11.86" bestFit="1" customWidth="1"/>
    <col min="4" max="4" width="11.86" bestFit="1" customWidth="1"/>
    <col min="5" max="5" width="11.86" bestFit="1" customWidth="1"/>
    <col min="6" max="6" width="11.86" bestFit="1" customWidth="1"/>
    <col min="7" max="7" width="11.86" bestFit="1" customWidth="1"/>
    <col min="8" max="8" width="11.86" bestFit="1" customWidth="1"/>
    <col min="9" max="9" width="11.86" bestFit="1" customWidth="1"/>
    <col min="10" max="10" width="12" bestFit="1" customWidth="1"/>
    <col min="11" max="11" width="11.86" bestFit="1" customWidth="1"/>
    <col min="12" max="12" width="11.86" bestFit="1" customWidth="1"/>
    <col min="13" max="13" width="11.86" bestFit="1" customWidth="1"/>
    <col min="14" max="14" width="11.86" bestFit="1" customWidth="1"/>
    <col min="15" max="15" width="11.86" bestFit="1" customWidth="1"/>
    <col min="16" max="16" width="11.86" bestFit="1" customWidth="1"/>
    <col min="17" max="17" width="11.86" bestFit="1" customWidth="1"/>
  </cols>
  <sheetData>
    <row r="1"/>
    <row r="2"/>
    <row r="3">
      <c r="A3" s="2"/>
      <c r="B3" s="3"/>
      <c r="C3" s="4" t="s">
        <v>0</v>
      </c>
      <c r="D3" s="4"/>
      <c r="E3" s="4"/>
      <c r="F3" s="4"/>
      <c r="G3" s="4"/>
      <c r="H3" s="4"/>
      <c r="I3" s="4" t="s">
        <v>1</v>
      </c>
      <c r="J3" s="4" t="s">
        <v>0</v>
      </c>
      <c r="K3" s="5"/>
      <c r="L3" s="6"/>
      <c r="M3" s="6"/>
      <c r="N3" s="6"/>
      <c r="O3" s="6"/>
      <c r="P3" s="2"/>
      <c r="Q3" s="2"/>
    </row>
    <row r="4">
      <c r="A4" s="7" t="s">
        <v>2</v>
      </c>
      <c r="B4" s="8" t="s">
        <v>3</v>
      </c>
      <c r="C4" s="9">
        <f>+D4-1</f>
        <v>2017</v>
      </c>
      <c r="D4" s="9">
        <f>+E4-1</f>
        <v>2018</v>
      </c>
      <c r="E4" s="9">
        <f>+F4-1</f>
        <v>2019</v>
      </c>
      <c r="F4" s="9">
        <f>+G4-1</f>
        <v>2020</v>
      </c>
      <c r="G4" s="9">
        <f>+H4-1</f>
        <v>2021</v>
      </c>
      <c r="H4" s="10">
        <f>+I4-1</f>
        <v>2022</v>
      </c>
      <c r="I4" s="10">
        <f>+J4</f>
        <v>2023</v>
      </c>
      <c r="J4" s="11">
        <f>+K4-1</f>
        <v>2023</v>
      </c>
      <c r="K4" s="12">
        <v>2024</v>
      </c>
      <c r="L4" s="13">
        <f>+K4+1</f>
        <v>2025</v>
      </c>
      <c r="M4" s="13">
        <f>+L4+1</f>
        <v>2026</v>
      </c>
      <c r="N4" s="13">
        <f>+M4+1</f>
        <v>2027</v>
      </c>
      <c r="O4" s="13">
        <f>+N4+1</f>
        <v>2028</v>
      </c>
      <c r="P4" s="13">
        <f>+O4+1</f>
        <v>2029</v>
      </c>
      <c r="Q4" s="13">
        <f>+P4+1</f>
        <v>2030</v>
      </c>
    </row>
    <row r="5">
      <c r="A5" s="14">
        <v>1</v>
      </c>
      <c r="B5" s="15" t="s">
        <v>4</v>
      </c>
      <c r="C5" s="16">
        <f>28256602.45</f>
        <v>28256602.449999999</v>
      </c>
      <c r="D5" s="16">
        <f>28870371.18</f>
        <v>28870371.18</v>
      </c>
      <c r="E5" s="16">
        <f>30453722.89</f>
        <v>30453722.890000001</v>
      </c>
      <c r="F5" s="16">
        <f>31321648.35</f>
        <v>31321648.350000001</v>
      </c>
      <c r="G5" s="16">
        <f>38925405.57</f>
        <v>38925405.57</v>
      </c>
      <c r="H5" s="17">
        <f>39516296.62</f>
        <v>39516296.619999997</v>
      </c>
      <c r="I5" s="17">
        <f>45527481.92</f>
        <v>45527481.920000002</v>
      </c>
      <c r="J5" s="18">
        <f>36373036.62</f>
        <v>36373036.619999997</v>
      </c>
      <c r="K5" s="19">
        <f>52965027.67</f>
        <v>52965027.670000002</v>
      </c>
      <c r="L5" s="20">
        <f>25357897</f>
        <v>25357897</v>
      </c>
      <c r="M5" s="20">
        <f>25289897</f>
        <v>25289897</v>
      </c>
      <c r="N5" s="20">
        <f>25574400</f>
        <v>25574400</v>
      </c>
      <c r="O5" s="20">
        <f>25347000</f>
        <v>25347000</v>
      </c>
      <c r="P5" s="20">
        <f>25973887</f>
        <v>25973887</v>
      </c>
      <c r="Q5" s="20">
        <f>28800000</f>
        <v>28800000</v>
      </c>
    </row>
    <row r="6">
      <c r="A6" s="21" t="s">
        <v>5</v>
      </c>
      <c r="B6" s="22" t="s">
        <v>6</v>
      </c>
      <c r="C6" s="23">
        <f>25476368.73</f>
        <v>25476368.73</v>
      </c>
      <c r="D6" s="23">
        <f>26088025.95</f>
        <v>26088025.949999999</v>
      </c>
      <c r="E6" s="23">
        <f>28021140.2</f>
        <v>28021140.199999999</v>
      </c>
      <c r="F6" s="23">
        <f>29714456.66</f>
        <v>29714456.66</v>
      </c>
      <c r="G6" s="23">
        <f>31581018.25</f>
        <v>31581018.25</v>
      </c>
      <c r="H6" s="24">
        <f>37903422.35</f>
        <v>37903422.350000001</v>
      </c>
      <c r="I6" s="24">
        <f>29793209.69</f>
        <v>29793209.690000001</v>
      </c>
      <c r="J6" s="25">
        <f>31600771.73</f>
        <v>31600771.73</v>
      </c>
      <c r="K6" s="26">
        <f>30706307.31</f>
        <v>30706307.309999999</v>
      </c>
      <c r="L6" s="27">
        <f>25357897</f>
        <v>25357897</v>
      </c>
      <c r="M6" s="27">
        <f>25289897</f>
        <v>25289897</v>
      </c>
      <c r="N6" s="27">
        <f>25574400</f>
        <v>25574400</v>
      </c>
      <c r="O6" s="27">
        <f>25347000</f>
        <v>25347000</v>
      </c>
      <c r="P6" s="27">
        <f>25973887</f>
        <v>25973887</v>
      </c>
      <c r="Q6" s="27">
        <f>28800000</f>
        <v>28800000</v>
      </c>
    </row>
    <row r="7">
      <c r="A7" s="21" t="s">
        <v>7</v>
      </c>
      <c r="B7" s="22" t="s">
        <v>8</v>
      </c>
      <c r="C7" s="23">
        <f>2058151</f>
        <v>2058151</v>
      </c>
      <c r="D7" s="23">
        <f>2263534</f>
        <v>2263534</v>
      </c>
      <c r="E7" s="23">
        <f>2576084</f>
        <v>2576084</v>
      </c>
      <c r="F7" s="23">
        <f>2397640</f>
        <v>2397640</v>
      </c>
      <c r="G7" s="23">
        <f>2864455</f>
        <v>2864455</v>
      </c>
      <c r="H7" s="24">
        <f>5289514.57</f>
        <v>5289514.5700000003</v>
      </c>
      <c r="I7" s="24">
        <f>2316523</f>
        <v>2316523</v>
      </c>
      <c r="J7" s="25">
        <f>2316523</f>
        <v>2316523</v>
      </c>
      <c r="K7" s="26">
        <f>3174148</f>
        <v>3174148</v>
      </c>
      <c r="L7" s="27">
        <f>2970014</f>
        <v>2970014</v>
      </c>
      <c r="M7" s="27">
        <f>2902014</f>
        <v>2902014</v>
      </c>
      <c r="N7" s="27">
        <f>2910000</f>
        <v>2910000</v>
      </c>
      <c r="O7" s="27">
        <f>0</f>
        <v>0</v>
      </c>
      <c r="P7" s="27">
        <f>0</f>
        <v>0</v>
      </c>
      <c r="Q7" s="27">
        <f>0</f>
        <v>0</v>
      </c>
    </row>
    <row r="8">
      <c r="A8" s="21" t="s">
        <v>9</v>
      </c>
      <c r="B8" s="22" t="s">
        <v>10</v>
      </c>
      <c r="C8" s="23">
        <f>12308.85</f>
        <v>12308.85</v>
      </c>
      <c r="D8" s="23">
        <f>13514.59</f>
        <v>13514.59</v>
      </c>
      <c r="E8" s="23">
        <f>25094.76</f>
        <v>25094.759999999998</v>
      </c>
      <c r="F8" s="23">
        <f>6219.05</f>
        <v>6219.0500000000002</v>
      </c>
      <c r="G8" s="23">
        <f>17421.75</f>
        <v>17421.75</v>
      </c>
      <c r="H8" s="24">
        <f>19249</f>
        <v>19249</v>
      </c>
      <c r="I8" s="24">
        <f>27118</f>
        <v>27118</v>
      </c>
      <c r="J8" s="25">
        <f>27118</f>
        <v>27118</v>
      </c>
      <c r="K8" s="26">
        <f>33770</f>
        <v>33770</v>
      </c>
      <c r="L8" s="27">
        <f>13048</f>
        <v>13048</v>
      </c>
      <c r="M8" s="27">
        <f>13048</f>
        <v>13048</v>
      </c>
      <c r="N8" s="27">
        <f>28000</f>
        <v>28000</v>
      </c>
      <c r="O8" s="27">
        <f>0</f>
        <v>0</v>
      </c>
      <c r="P8" s="27">
        <f>0</f>
        <v>0</v>
      </c>
      <c r="Q8" s="27">
        <f>0</f>
        <v>0</v>
      </c>
    </row>
    <row r="9">
      <c r="A9" s="21" t="s">
        <v>11</v>
      </c>
      <c r="B9" s="22" t="s">
        <v>12</v>
      </c>
      <c r="C9" s="23">
        <f>10851224</f>
        <v>10851224</v>
      </c>
      <c r="D9" s="23">
        <f>11225761</f>
        <v>11225761</v>
      </c>
      <c r="E9" s="23">
        <f>12002645</f>
        <v>12002645</v>
      </c>
      <c r="F9" s="23">
        <f>12665612</f>
        <v>12665612</v>
      </c>
      <c r="G9" s="23">
        <f>13676287</f>
        <v>13676287</v>
      </c>
      <c r="H9" s="24">
        <f>13354794</f>
        <v>13354794</v>
      </c>
      <c r="I9" s="24">
        <f>16158197</f>
        <v>16158197</v>
      </c>
      <c r="J9" s="25">
        <f>16158197</f>
        <v>16158197</v>
      </c>
      <c r="K9" s="26">
        <f>16882974</f>
        <v>16882974</v>
      </c>
      <c r="L9" s="27">
        <f>13625851</f>
        <v>13625851</v>
      </c>
      <c r="M9" s="27">
        <f>13625851</f>
        <v>13625851</v>
      </c>
      <c r="N9" s="27">
        <f>16500000</f>
        <v>16500000</v>
      </c>
      <c r="O9" s="27">
        <f>0</f>
        <v>0</v>
      </c>
      <c r="P9" s="27">
        <f>0</f>
        <v>0</v>
      </c>
      <c r="Q9" s="27">
        <f>0</f>
        <v>0</v>
      </c>
    </row>
    <row r="10">
      <c r="A10" s="21" t="s">
        <v>13</v>
      </c>
      <c r="B10" s="22" t="s">
        <v>14</v>
      </c>
      <c r="C10" s="23">
        <f>9545334.92</f>
        <v>9545334.9199999999</v>
      </c>
      <c r="D10" s="23">
        <f>9490230.88</f>
        <v>9490230.8800000008</v>
      </c>
      <c r="E10" s="23">
        <f>10049994.93</f>
        <v>10049994.93</v>
      </c>
      <c r="F10" s="23">
        <f>11234567.25</f>
        <v>11234567.25</v>
      </c>
      <c r="G10" s="23">
        <f>11055742.86</f>
        <v>11055742.859999999</v>
      </c>
      <c r="H10" s="24">
        <f>14523094.51</f>
        <v>14523094.51</v>
      </c>
      <c r="I10" s="24">
        <f>5621672.52</f>
        <v>5621672.5199999996</v>
      </c>
      <c r="J10" s="25">
        <f>5621672.52</f>
        <v>5621672.5199999996</v>
      </c>
      <c r="K10" s="26">
        <f>3776882.9</f>
        <v>3776882.8999999999</v>
      </c>
      <c r="L10" s="27">
        <f>4500000</f>
        <v>4500000</v>
      </c>
      <c r="M10" s="27">
        <f>4500000</f>
        <v>4500000</v>
      </c>
      <c r="N10" s="27">
        <f>4000000</f>
        <v>4000000</v>
      </c>
      <c r="O10" s="27">
        <f>0</f>
        <v>0</v>
      </c>
      <c r="P10" s="27">
        <f>0</f>
        <v>0</v>
      </c>
      <c r="Q10" s="27">
        <f>0</f>
        <v>0</v>
      </c>
    </row>
    <row r="11">
      <c r="A11" s="21" t="s">
        <v>15</v>
      </c>
      <c r="B11" s="22" t="s">
        <v>16</v>
      </c>
      <c r="C11" s="23">
        <f>3009349.96</f>
        <v>3009349.96</v>
      </c>
      <c r="D11" s="23">
        <f>3094985.48</f>
        <v>3094985.48</v>
      </c>
      <c r="E11" s="23">
        <f>3367321.51</f>
        <v>3367321.5099999998</v>
      </c>
      <c r="F11" s="23">
        <f>3410418.36</f>
        <v>3410418.3599999999</v>
      </c>
      <c r="G11" s="23">
        <f>3967111.64</f>
        <v>3967111.6400000001</v>
      </c>
      <c r="H11" s="24">
        <f>4716770.27</f>
        <v>4716770.2699999996</v>
      </c>
      <c r="I11" s="24">
        <f>5669699.17</f>
        <v>5669699.1699999999</v>
      </c>
      <c r="J11" s="25">
        <f>6764359.9</f>
        <v>6764359.9000000004</v>
      </c>
      <c r="K11" s="26">
        <f>6838532.41</f>
        <v>6838532.4100000001</v>
      </c>
      <c r="L11" s="27">
        <f>4248984</f>
        <v>4248984</v>
      </c>
      <c r="M11" s="27">
        <f>4248984</f>
        <v>4248984</v>
      </c>
      <c r="N11" s="27">
        <f>2136400</f>
        <v>2136400</v>
      </c>
      <c r="O11" s="27">
        <f>0</f>
        <v>0</v>
      </c>
      <c r="P11" s="27">
        <f>0</f>
        <v>0</v>
      </c>
      <c r="Q11" s="27">
        <f>0</f>
        <v>0</v>
      </c>
    </row>
    <row r="12">
      <c r="A12" s="21" t="s">
        <v>17</v>
      </c>
      <c r="B12" s="22" t="s">
        <v>18</v>
      </c>
      <c r="C12" s="23">
        <f>783032.96</f>
        <v>783032.95999999996</v>
      </c>
      <c r="D12" s="23">
        <f>801108.23</f>
        <v>801108.22999999998</v>
      </c>
      <c r="E12" s="23">
        <f>882438.97</f>
        <v>882438.96999999997</v>
      </c>
      <c r="F12" s="23">
        <f>1003440.82</f>
        <v>1003440.8199999999</v>
      </c>
      <c r="G12" s="23">
        <f>1026102.79</f>
        <v>1026102.79</v>
      </c>
      <c r="H12" s="24">
        <f>1050632.23</f>
        <v>1050632.23</v>
      </c>
      <c r="I12" s="24">
        <f>1126108.17</f>
        <v>1126108.1699999999</v>
      </c>
      <c r="J12" s="25">
        <f>1126108.17</f>
        <v>1126108.1699999999</v>
      </c>
      <c r="K12" s="26">
        <f>1156929</f>
        <v>1156929</v>
      </c>
      <c r="L12" s="27">
        <f>772073</f>
        <v>772073</v>
      </c>
      <c r="M12" s="27">
        <f>772073</f>
        <v>772073</v>
      </c>
      <c r="N12" s="27">
        <f>1126108.77</f>
        <v>1126108.77</v>
      </c>
      <c r="O12" s="27">
        <f>0</f>
        <v>0</v>
      </c>
      <c r="P12" s="27">
        <f>0</f>
        <v>0</v>
      </c>
      <c r="Q12" s="27">
        <f>0</f>
        <v>0</v>
      </c>
    </row>
    <row r="13">
      <c r="A13" s="21" t="s">
        <v>19</v>
      </c>
      <c r="B13" s="22" t="s">
        <v>20</v>
      </c>
      <c r="C13" s="23">
        <f>2780233.72</f>
        <v>2780233.7200000002</v>
      </c>
      <c r="D13" s="23">
        <f>2782345.23</f>
        <v>2782345.23</v>
      </c>
      <c r="E13" s="23">
        <f>2432582.69</f>
        <v>2432582.6899999999</v>
      </c>
      <c r="F13" s="23">
        <f>1607191.69</f>
        <v>1607191.6899999999</v>
      </c>
      <c r="G13" s="23">
        <f>7344387.32</f>
        <v>7344387.3200000003</v>
      </c>
      <c r="H13" s="24">
        <f>1612874.27</f>
        <v>1612874.27</v>
      </c>
      <c r="I13" s="24">
        <f>15734272.23</f>
        <v>15734272.23</v>
      </c>
      <c r="J13" s="25">
        <f>4772264.89</f>
        <v>4772264.8899999997</v>
      </c>
      <c r="K13" s="26">
        <f>22258720.36</f>
        <v>22258720.359999999</v>
      </c>
      <c r="L13" s="27">
        <f>0</f>
        <v>0</v>
      </c>
      <c r="M13" s="27">
        <f>0</f>
        <v>0</v>
      </c>
      <c r="N13" s="27">
        <f>0</f>
        <v>0</v>
      </c>
      <c r="O13" s="27">
        <f>0</f>
        <v>0</v>
      </c>
      <c r="P13" s="27">
        <f>0</f>
        <v>0</v>
      </c>
      <c r="Q13" s="27">
        <f>0</f>
        <v>0</v>
      </c>
    </row>
    <row r="14">
      <c r="A14" s="21" t="s">
        <v>21</v>
      </c>
      <c r="B14" s="22" t="s">
        <v>22</v>
      </c>
      <c r="C14" s="23">
        <f>23833.6</f>
        <v>23833.599999999999</v>
      </c>
      <c r="D14" s="23">
        <f>1000</f>
        <v>1000</v>
      </c>
      <c r="E14" s="23">
        <f>0</f>
        <v>0</v>
      </c>
      <c r="F14" s="23">
        <f>0</f>
        <v>0</v>
      </c>
      <c r="G14" s="23">
        <f>44240</f>
        <v>44240</v>
      </c>
      <c r="H14" s="24">
        <f>0</f>
        <v>0</v>
      </c>
      <c r="I14" s="24">
        <f>0</f>
        <v>0</v>
      </c>
      <c r="J14" s="25">
        <f>0</f>
        <v>0</v>
      </c>
      <c r="K14" s="26">
        <f>0</f>
        <v>0</v>
      </c>
      <c r="L14" s="27">
        <f>0</f>
        <v>0</v>
      </c>
      <c r="M14" s="27">
        <f>0</f>
        <v>0</v>
      </c>
      <c r="N14" s="27">
        <f>0</f>
        <v>0</v>
      </c>
      <c r="O14" s="27">
        <f>0</f>
        <v>0</v>
      </c>
      <c r="P14" s="27">
        <f>0</f>
        <v>0</v>
      </c>
      <c r="Q14" s="27">
        <f>0</f>
        <v>0</v>
      </c>
    </row>
    <row r="15">
      <c r="A15" s="21" t="s">
        <v>23</v>
      </c>
      <c r="B15" s="22" t="s">
        <v>24</v>
      </c>
      <c r="C15" s="23">
        <f>2756400.12</f>
        <v>2756400.1200000001</v>
      </c>
      <c r="D15" s="23">
        <f>2781345.23</f>
        <v>2781345.23</v>
      </c>
      <c r="E15" s="23">
        <f>2432582.69</f>
        <v>2432582.6899999999</v>
      </c>
      <c r="F15" s="23">
        <f>1607191.69</f>
        <v>1607191.6899999999</v>
      </c>
      <c r="G15" s="23">
        <f>7300147.32</f>
        <v>7300147.3200000003</v>
      </c>
      <c r="H15" s="24">
        <f>1612874.27</f>
        <v>1612874.27</v>
      </c>
      <c r="I15" s="24">
        <f>15734272.23</f>
        <v>15734272.23</v>
      </c>
      <c r="J15" s="25">
        <f>4772264.89</f>
        <v>4772264.8899999997</v>
      </c>
      <c r="K15" s="26">
        <f>22258720.36</f>
        <v>22258720.359999999</v>
      </c>
      <c r="L15" s="27">
        <f>0</f>
        <v>0</v>
      </c>
      <c r="M15" s="27">
        <f>0</f>
        <v>0</v>
      </c>
      <c r="N15" s="27">
        <f>0</f>
        <v>0</v>
      </c>
      <c r="O15" s="27">
        <f>0</f>
        <v>0</v>
      </c>
      <c r="P15" s="27">
        <f>0</f>
        <v>0</v>
      </c>
      <c r="Q15" s="27">
        <f>0</f>
        <v>0</v>
      </c>
    </row>
    <row r="16">
      <c r="A16" s="28">
        <v>2</v>
      </c>
      <c r="B16" s="29" t="s">
        <v>25</v>
      </c>
      <c r="C16" s="30">
        <f>30070035.18</f>
        <v>30070035.18</v>
      </c>
      <c r="D16" s="30">
        <f>28758116.21</f>
        <v>28758116.210000001</v>
      </c>
      <c r="E16" s="30">
        <f>30703192.52</f>
        <v>30703192.52</v>
      </c>
      <c r="F16" s="30">
        <f>29642237.42</f>
        <v>29642237.420000002</v>
      </c>
      <c r="G16" s="30">
        <f>32863035.2</f>
        <v>32863035.199999999</v>
      </c>
      <c r="H16" s="31">
        <f>43576175.11</f>
        <v>43576175.109999999</v>
      </c>
      <c r="I16" s="31">
        <f>49715452.14</f>
        <v>49715452.140000001</v>
      </c>
      <c r="J16" s="32">
        <f>40372648</f>
        <v>40372648</v>
      </c>
      <c r="K16" s="33">
        <f>52375027.67</f>
        <v>52375027.670000002</v>
      </c>
      <c r="L16" s="34">
        <f>24457897</f>
        <v>24457897</v>
      </c>
      <c r="M16" s="34">
        <f>24449947</f>
        <v>24449947</v>
      </c>
      <c r="N16" s="34">
        <f>24924400</f>
        <v>24924400</v>
      </c>
      <c r="O16" s="34">
        <f>24947000</f>
        <v>24947000</v>
      </c>
      <c r="P16" s="34">
        <f>25243887</f>
        <v>25243887</v>
      </c>
      <c r="Q16" s="34">
        <f>28680000</f>
        <v>28680000</v>
      </c>
    </row>
    <row r="17">
      <c r="A17" s="21" t="s">
        <v>26</v>
      </c>
      <c r="B17" s="22" t="s">
        <v>27</v>
      </c>
      <c r="C17" s="23">
        <f>23311857.51</f>
        <v>23311857.510000002</v>
      </c>
      <c r="D17" s="23">
        <f>24136739.95</f>
        <v>24136739.949999999</v>
      </c>
      <c r="E17" s="23">
        <f>26181072.59</f>
        <v>26181072.59</v>
      </c>
      <c r="F17" s="23">
        <f>27072147.96</f>
        <v>27072147.960000001</v>
      </c>
      <c r="G17" s="23">
        <f>29106952.09</f>
        <v>29106952.09</v>
      </c>
      <c r="H17" s="24">
        <f>35298034.12</f>
        <v>35298034.119999997</v>
      </c>
      <c r="I17" s="24">
        <f>29710330.08</f>
        <v>29710330.079999998</v>
      </c>
      <c r="J17" s="25">
        <f>31238217.7</f>
        <v>31238217.699999999</v>
      </c>
      <c r="K17" s="26">
        <f>29321303.57</f>
        <v>29321303.57</v>
      </c>
      <c r="L17" s="27">
        <f>23828588</f>
        <v>23828588</v>
      </c>
      <c r="M17" s="27">
        <f>23882756</f>
        <v>23882756</v>
      </c>
      <c r="N17" s="27">
        <f>24924400</f>
        <v>24924400</v>
      </c>
      <c r="O17" s="27">
        <f>24947000</f>
        <v>24947000</v>
      </c>
      <c r="P17" s="27">
        <f>25243887</f>
        <v>25243887</v>
      </c>
      <c r="Q17" s="27">
        <f>28680000</f>
        <v>28680000</v>
      </c>
    </row>
    <row r="18">
      <c r="A18" s="21" t="s">
        <v>28</v>
      </c>
      <c r="B18" s="22" t="s">
        <v>29</v>
      </c>
      <c r="C18" s="23">
        <f>9471320.16</f>
        <v>9471320.1600000001</v>
      </c>
      <c r="D18" s="23">
        <f>10201704.19</f>
        <v>10201704.189999999</v>
      </c>
      <c r="E18" s="23">
        <f>11268573.55</f>
        <v>11268573.550000001</v>
      </c>
      <c r="F18" s="23">
        <f>11801384.92</f>
        <v>11801384.92</v>
      </c>
      <c r="G18" s="23">
        <f>12608695.27</f>
        <v>12608695.27</v>
      </c>
      <c r="H18" s="24">
        <f>13861100.14</f>
        <v>13861100.140000001</v>
      </c>
      <c r="I18" s="24">
        <f>14838626.98</f>
        <v>14838626.98</v>
      </c>
      <c r="J18" s="25">
        <f>15447003.76</f>
        <v>15447003.76</v>
      </c>
      <c r="K18" s="26">
        <f>17075755.96</f>
        <v>17075755.960000001</v>
      </c>
      <c r="L18" s="27">
        <f>0</f>
        <v>0</v>
      </c>
      <c r="M18" s="27">
        <f>0</f>
        <v>0</v>
      </c>
      <c r="N18" s="27">
        <f>0</f>
        <v>0</v>
      </c>
      <c r="O18" s="27">
        <f>0</f>
        <v>0</v>
      </c>
      <c r="P18" s="27">
        <f>0</f>
        <v>0</v>
      </c>
      <c r="Q18" s="27">
        <f>0</f>
        <v>0</v>
      </c>
    </row>
    <row r="19">
      <c r="A19" s="21" t="s">
        <v>30</v>
      </c>
      <c r="B19" s="22" t="s">
        <v>31</v>
      </c>
      <c r="C19" s="23">
        <f>0</f>
        <v>0</v>
      </c>
      <c r="D19" s="23">
        <f>0</f>
        <v>0</v>
      </c>
      <c r="E19" s="23">
        <f>0</f>
        <v>0</v>
      </c>
      <c r="F19" s="23">
        <f>0</f>
        <v>0</v>
      </c>
      <c r="G19" s="23">
        <f>0</f>
        <v>0</v>
      </c>
      <c r="H19" s="24">
        <f>0</f>
        <v>0</v>
      </c>
      <c r="I19" s="24">
        <f>0</f>
        <v>0</v>
      </c>
      <c r="J19" s="25">
        <f>0</f>
        <v>0</v>
      </c>
      <c r="K19" s="26">
        <f>0</f>
        <v>0</v>
      </c>
      <c r="L19" s="27">
        <f>0</f>
        <v>0</v>
      </c>
      <c r="M19" s="27">
        <f>0</f>
        <v>0</v>
      </c>
      <c r="N19" s="27">
        <f>0</f>
        <v>0</v>
      </c>
      <c r="O19" s="27">
        <f>0</f>
        <v>0</v>
      </c>
      <c r="P19" s="27">
        <f>0</f>
        <v>0</v>
      </c>
      <c r="Q19" s="27">
        <f>0</f>
        <v>0</v>
      </c>
    </row>
    <row r="20">
      <c r="A20" s="21" t="s">
        <v>32</v>
      </c>
      <c r="B20" s="22" t="s">
        <v>33</v>
      </c>
      <c r="C20" s="23">
        <f>0</f>
        <v>0</v>
      </c>
      <c r="D20" s="23">
        <f>0</f>
        <v>0</v>
      </c>
      <c r="E20" s="23">
        <f>0</f>
        <v>0</v>
      </c>
      <c r="F20" s="23">
        <f>0</f>
        <v>0</v>
      </c>
      <c r="G20" s="23">
        <f>0</f>
        <v>0</v>
      </c>
      <c r="H20" s="24">
        <f>0</f>
        <v>0</v>
      </c>
      <c r="I20" s="24">
        <f>0</f>
        <v>0</v>
      </c>
      <c r="J20" s="25">
        <f>0</f>
        <v>0</v>
      </c>
      <c r="K20" s="26">
        <f>0</f>
        <v>0</v>
      </c>
      <c r="L20" s="27">
        <f>0</f>
        <v>0</v>
      </c>
      <c r="M20" s="27">
        <f>0</f>
        <v>0</v>
      </c>
      <c r="N20" s="27">
        <f>0</f>
        <v>0</v>
      </c>
      <c r="O20" s="27">
        <f>0</f>
        <v>0</v>
      </c>
      <c r="P20" s="27">
        <f>0</f>
        <v>0</v>
      </c>
      <c r="Q20" s="27">
        <f>0</f>
        <v>0</v>
      </c>
    </row>
    <row r="21">
      <c r="A21" s="21" t="s">
        <v>34</v>
      </c>
      <c r="B21" s="22" t="s">
        <v>35</v>
      </c>
      <c r="C21" s="23">
        <f>111269.38</f>
        <v>111269.38</v>
      </c>
      <c r="D21" s="23">
        <f>119342</f>
        <v>119342</v>
      </c>
      <c r="E21" s="23">
        <f>129715.85</f>
        <v>129715.85000000001</v>
      </c>
      <c r="F21" s="23">
        <f>88757.2</f>
        <v>88757.199999999997</v>
      </c>
      <c r="G21" s="23">
        <f>51093.45</f>
        <v>51093.449999999997</v>
      </c>
      <c r="H21" s="24">
        <f>163522.45</f>
        <v>163522.45000000001</v>
      </c>
      <c r="I21" s="24">
        <f>200000</f>
        <v>200000</v>
      </c>
      <c r="J21" s="25">
        <f>200000</f>
        <v>200000</v>
      </c>
      <c r="K21" s="26">
        <f>250000</f>
        <v>250000</v>
      </c>
      <c r="L21" s="27">
        <f>50000</f>
        <v>50000</v>
      </c>
      <c r="M21" s="27">
        <f>40000</f>
        <v>40000</v>
      </c>
      <c r="N21" s="27">
        <f>30000</f>
        <v>30000</v>
      </c>
      <c r="O21" s="27">
        <f>0</f>
        <v>0</v>
      </c>
      <c r="P21" s="27">
        <f>0</f>
        <v>0</v>
      </c>
      <c r="Q21" s="27">
        <f>0</f>
        <v>0</v>
      </c>
    </row>
    <row r="22">
      <c r="A22" s="21" t="s">
        <v>36</v>
      </c>
      <c r="B22" s="22" t="s">
        <v>37</v>
      </c>
      <c r="C22" s="23">
        <f>0</f>
        <v>0</v>
      </c>
      <c r="D22" s="23">
        <f>0</f>
        <v>0</v>
      </c>
      <c r="E22" s="23">
        <f>0</f>
        <v>0</v>
      </c>
      <c r="F22" s="23">
        <f>0</f>
        <v>0</v>
      </c>
      <c r="G22" s="23">
        <f>0</f>
        <v>0</v>
      </c>
      <c r="H22" s="24">
        <f>0</f>
        <v>0</v>
      </c>
      <c r="I22" s="24">
        <f>0</f>
        <v>0</v>
      </c>
      <c r="J22" s="25">
        <f>0</f>
        <v>0</v>
      </c>
      <c r="K22" s="26">
        <f>0</f>
        <v>0</v>
      </c>
      <c r="L22" s="27">
        <f>0</f>
        <v>0</v>
      </c>
      <c r="M22" s="27">
        <f>0</f>
        <v>0</v>
      </c>
      <c r="N22" s="27">
        <f>0</f>
        <v>0</v>
      </c>
      <c r="O22" s="27">
        <f>0</f>
        <v>0</v>
      </c>
      <c r="P22" s="27">
        <f>0</f>
        <v>0</v>
      </c>
      <c r="Q22" s="27">
        <f>0</f>
        <v>0</v>
      </c>
    </row>
    <row r="23">
      <c r="A23" s="21" t="s">
        <v>38</v>
      </c>
      <c r="B23" s="22" t="s">
        <v>39</v>
      </c>
      <c r="C23" s="23">
        <f>0</f>
        <v>0</v>
      </c>
      <c r="D23" s="23">
        <f>0</f>
        <v>0</v>
      </c>
      <c r="E23" s="23">
        <f>0</f>
        <v>0</v>
      </c>
      <c r="F23" s="23">
        <f>0</f>
        <v>0</v>
      </c>
      <c r="G23" s="23">
        <f>0</f>
        <v>0</v>
      </c>
      <c r="H23" s="24">
        <f>0</f>
        <v>0</v>
      </c>
      <c r="I23" s="24">
        <f>0</f>
        <v>0</v>
      </c>
      <c r="J23" s="25">
        <f>0</f>
        <v>0</v>
      </c>
      <c r="K23" s="26">
        <f>0</f>
        <v>0</v>
      </c>
      <c r="L23" s="27">
        <f>0</f>
        <v>0</v>
      </c>
      <c r="M23" s="27">
        <f>0</f>
        <v>0</v>
      </c>
      <c r="N23" s="27">
        <f>0</f>
        <v>0</v>
      </c>
      <c r="O23" s="27">
        <f>0</f>
        <v>0</v>
      </c>
      <c r="P23" s="27">
        <f>0</f>
        <v>0</v>
      </c>
      <c r="Q23" s="27">
        <f>0</f>
        <v>0</v>
      </c>
    </row>
    <row r="24">
      <c r="A24" s="21" t="s">
        <v>40</v>
      </c>
      <c r="B24" s="22" t="s">
        <v>41</v>
      </c>
      <c r="C24" s="23">
        <f>0</f>
        <v>0</v>
      </c>
      <c r="D24" s="23">
        <f>0</f>
        <v>0</v>
      </c>
      <c r="E24" s="23">
        <f>0</f>
        <v>0</v>
      </c>
      <c r="F24" s="23">
        <f>0</f>
        <v>0</v>
      </c>
      <c r="G24" s="23">
        <f>0</f>
        <v>0</v>
      </c>
      <c r="H24" s="24">
        <f>0</f>
        <v>0</v>
      </c>
      <c r="I24" s="24">
        <f>0</f>
        <v>0</v>
      </c>
      <c r="J24" s="25">
        <f>0</f>
        <v>0</v>
      </c>
      <c r="K24" s="26">
        <f>0</f>
        <v>0</v>
      </c>
      <c r="L24" s="27">
        <f>0</f>
        <v>0</v>
      </c>
      <c r="M24" s="27">
        <f>0</f>
        <v>0</v>
      </c>
      <c r="N24" s="27">
        <f>0</f>
        <v>0</v>
      </c>
      <c r="O24" s="27">
        <f>0</f>
        <v>0</v>
      </c>
      <c r="P24" s="27">
        <f>0</f>
        <v>0</v>
      </c>
      <c r="Q24" s="27">
        <f>0</f>
        <v>0</v>
      </c>
    </row>
    <row r="25">
      <c r="A25" s="21" t="s">
        <v>42</v>
      </c>
      <c r="B25" s="22" t="s">
        <v>43</v>
      </c>
      <c r="C25" s="23">
        <f>6758177.67</f>
        <v>6758177.6699999999</v>
      </c>
      <c r="D25" s="23">
        <f>4621376.26</f>
        <v>4621376.2599999998</v>
      </c>
      <c r="E25" s="23">
        <f>4522119.93</f>
        <v>4522119.9299999997</v>
      </c>
      <c r="F25" s="23">
        <f>2570089.46</f>
        <v>2570089.46</v>
      </c>
      <c r="G25" s="23">
        <f>3756083.11</f>
        <v>3756083.1099999999</v>
      </c>
      <c r="H25" s="24">
        <f>8278140.99</f>
        <v>8278140.9900000002</v>
      </c>
      <c r="I25" s="24">
        <f>20005122.06</f>
        <v>20005122.059999999</v>
      </c>
      <c r="J25" s="25">
        <f>9134430.3</f>
        <v>9134430.3000000007</v>
      </c>
      <c r="K25" s="26">
        <f>23053724.1</f>
        <v>23053724.100000001</v>
      </c>
      <c r="L25" s="27">
        <f>629309</f>
        <v>629309</v>
      </c>
      <c r="M25" s="27">
        <f>567191</f>
        <v>567191</v>
      </c>
      <c r="N25" s="27">
        <f>0</f>
        <v>0</v>
      </c>
      <c r="O25" s="27">
        <f>0</f>
        <v>0</v>
      </c>
      <c r="P25" s="27">
        <f>0</f>
        <v>0</v>
      </c>
      <c r="Q25" s="27">
        <f>0</f>
        <v>0</v>
      </c>
    </row>
    <row r="26">
      <c r="A26" s="21" t="s">
        <v>44</v>
      </c>
      <c r="B26" s="22" t="s">
        <v>45</v>
      </c>
      <c r="C26" s="23">
        <f>6758177.67</f>
        <v>6758177.6699999999</v>
      </c>
      <c r="D26" s="23">
        <f>4621376.26</f>
        <v>4621376.2599999998</v>
      </c>
      <c r="E26" s="23">
        <f>4522119.93</f>
        <v>4522119.9299999997</v>
      </c>
      <c r="F26" s="23">
        <f>2570089.46</f>
        <v>2570089.46</v>
      </c>
      <c r="G26" s="23">
        <f>3756083.11</f>
        <v>3756083.1099999999</v>
      </c>
      <c r="H26" s="24">
        <f>8278140.99</f>
        <v>8278140.9900000002</v>
      </c>
      <c r="I26" s="24">
        <f>20005122.06</f>
        <v>20005122.059999999</v>
      </c>
      <c r="J26" s="25">
        <f>19387985.31</f>
        <v>19387985.309999999</v>
      </c>
      <c r="K26" s="26">
        <f>23053724.1</f>
        <v>23053724.100000001</v>
      </c>
      <c r="L26" s="27">
        <f>0</f>
        <v>0</v>
      </c>
      <c r="M26" s="27">
        <f>0</f>
        <v>0</v>
      </c>
      <c r="N26" s="27">
        <f>0</f>
        <v>0</v>
      </c>
      <c r="O26" s="27">
        <f>0</f>
        <v>0</v>
      </c>
      <c r="P26" s="27">
        <f>0</f>
        <v>0</v>
      </c>
      <c r="Q26" s="27">
        <f>0</f>
        <v>0</v>
      </c>
    </row>
    <row r="27">
      <c r="A27" s="21" t="s">
        <v>46</v>
      </c>
      <c r="B27" s="22" t="s">
        <v>47</v>
      </c>
      <c r="C27" s="23">
        <f>644475</f>
        <v>644475</v>
      </c>
      <c r="D27" s="23">
        <f>110930.62</f>
        <v>110930.62</v>
      </c>
      <c r="E27" s="23">
        <f>0</f>
        <v>0</v>
      </c>
      <c r="F27" s="23">
        <f>0</f>
        <v>0</v>
      </c>
      <c r="G27" s="23">
        <f>16177.63</f>
        <v>16177.629999999999</v>
      </c>
      <c r="H27" s="24">
        <f>397484.02</f>
        <v>397484.02000000002</v>
      </c>
      <c r="I27" s="24">
        <f>294000</f>
        <v>294000</v>
      </c>
      <c r="J27" s="25">
        <f>939740.23</f>
        <v>939740.22999999998</v>
      </c>
      <c r="K27" s="26">
        <f>560749.11</f>
        <v>560749.10999999999</v>
      </c>
      <c r="L27" s="27">
        <f>0</f>
        <v>0</v>
      </c>
      <c r="M27" s="27">
        <f>0</f>
        <v>0</v>
      </c>
      <c r="N27" s="27">
        <f>0</f>
        <v>0</v>
      </c>
      <c r="O27" s="27">
        <f>0</f>
        <v>0</v>
      </c>
      <c r="P27" s="27">
        <f>0</f>
        <v>0</v>
      </c>
      <c r="Q27" s="27">
        <f>0</f>
        <v>0</v>
      </c>
    </row>
    <row r="28">
      <c r="A28" s="28">
        <v>3</v>
      </c>
      <c r="B28" s="29" t="s">
        <v>48</v>
      </c>
      <c r="C28" s="30">
        <f>-1813432.73</f>
        <v>-1813432.73</v>
      </c>
      <c r="D28" s="30">
        <f>112254.97</f>
        <v>112254.97</v>
      </c>
      <c r="E28" s="30">
        <f>-249469.63</f>
        <v>-249469.63</v>
      </c>
      <c r="F28" s="30">
        <f>1679410.93</f>
        <v>1679410.9299999999</v>
      </c>
      <c r="G28" s="30">
        <f>6062370.37</f>
        <v>6062370.3700000001</v>
      </c>
      <c r="H28" s="31">
        <f>-4059878.49</f>
        <v>-4059878.4900000002</v>
      </c>
      <c r="I28" s="31">
        <f>-4187970.22</f>
        <v>-4187970.2200000002</v>
      </c>
      <c r="J28" s="32">
        <f>-3999611.38</f>
        <v>-3999611.3799999999</v>
      </c>
      <c r="K28" s="33">
        <f>590000</f>
        <v>590000</v>
      </c>
      <c r="L28" s="34">
        <f>900000</f>
        <v>900000</v>
      </c>
      <c r="M28" s="34">
        <f>839950</f>
        <v>839950</v>
      </c>
      <c r="N28" s="34">
        <f>650000</f>
        <v>650000</v>
      </c>
      <c r="O28" s="34">
        <f>400000</f>
        <v>400000</v>
      </c>
      <c r="P28" s="34">
        <f>730000</f>
        <v>730000</v>
      </c>
      <c r="Q28" s="34">
        <f>120000</f>
        <v>120000</v>
      </c>
    </row>
    <row r="29">
      <c r="A29" s="21" t="s">
        <v>49</v>
      </c>
      <c r="B29" s="22" t="s">
        <v>50</v>
      </c>
      <c r="C29" s="23">
        <f>0</f>
        <v>0</v>
      </c>
      <c r="D29" s="23">
        <f>0</f>
        <v>0</v>
      </c>
      <c r="E29" s="23">
        <f>0</f>
        <v>0</v>
      </c>
      <c r="F29" s="23">
        <f>0</f>
        <v>0</v>
      </c>
      <c r="G29" s="23">
        <f>0</f>
        <v>0</v>
      </c>
      <c r="H29" s="24">
        <f>0</f>
        <v>0</v>
      </c>
      <c r="I29" s="24">
        <f>0</f>
        <v>0</v>
      </c>
      <c r="J29" s="25">
        <f>0</f>
        <v>0</v>
      </c>
      <c r="K29" s="26">
        <f>590000</f>
        <v>590000</v>
      </c>
      <c r="L29" s="27">
        <f>900000</f>
        <v>900000</v>
      </c>
      <c r="M29" s="27">
        <f>839950</f>
        <v>839950</v>
      </c>
      <c r="N29" s="27">
        <f>650000</f>
        <v>650000</v>
      </c>
      <c r="O29" s="27">
        <f>400000</f>
        <v>400000</v>
      </c>
      <c r="P29" s="27">
        <f>0</f>
        <v>0</v>
      </c>
      <c r="Q29" s="27">
        <f>0</f>
        <v>0</v>
      </c>
    </row>
    <row r="30">
      <c r="A30" s="28">
        <v>4</v>
      </c>
      <c r="B30" s="29" t="s">
        <v>51</v>
      </c>
      <c r="C30" s="30">
        <f>3293572</f>
        <v>3293572</v>
      </c>
      <c r="D30" s="30">
        <f>1006828</f>
        <v>1006828</v>
      </c>
      <c r="E30" s="30">
        <f>1661585</f>
        <v>1661585</v>
      </c>
      <c r="F30" s="30">
        <f>274187.41</f>
        <v>274187.40999999997</v>
      </c>
      <c r="G30" s="30">
        <f>307809.53</f>
        <v>307809.53000000003</v>
      </c>
      <c r="H30" s="31">
        <f>8003328.71</f>
        <v>8003328.71</v>
      </c>
      <c r="I30" s="31">
        <f>4917970.22</f>
        <v>4917970.2199999997</v>
      </c>
      <c r="J30" s="32">
        <f>4777970.22</f>
        <v>4777970.2199999997</v>
      </c>
      <c r="K30" s="33">
        <f>850000</f>
        <v>850000</v>
      </c>
      <c r="L30" s="34">
        <f>0</f>
        <v>0</v>
      </c>
      <c r="M30" s="34">
        <f>0</f>
        <v>0</v>
      </c>
      <c r="N30" s="34">
        <f>0</f>
        <v>0</v>
      </c>
      <c r="O30" s="34">
        <f>0</f>
        <v>0</v>
      </c>
      <c r="P30" s="34">
        <f>0</f>
        <v>0</v>
      </c>
      <c r="Q30" s="34">
        <f>0</f>
        <v>0</v>
      </c>
    </row>
    <row r="31">
      <c r="A31" s="21" t="s">
        <v>52</v>
      </c>
      <c r="B31" s="22" t="s">
        <v>53</v>
      </c>
      <c r="C31" s="23">
        <f>1970000</f>
        <v>1970000</v>
      </c>
      <c r="D31" s="23">
        <f>700000</f>
        <v>700000</v>
      </c>
      <c r="E31" s="23">
        <f>1639950</f>
        <v>1639950</v>
      </c>
      <c r="F31" s="23">
        <f>0</f>
        <v>0</v>
      </c>
      <c r="G31" s="23">
        <f>0</f>
        <v>0</v>
      </c>
      <c r="H31" s="24">
        <f>2127740</f>
        <v>2127740</v>
      </c>
      <c r="I31" s="24">
        <f>2730000</f>
        <v>2730000</v>
      </c>
      <c r="J31" s="25">
        <f>2590000</f>
        <v>2590000</v>
      </c>
      <c r="K31" s="26">
        <f>850000</f>
        <v>850000</v>
      </c>
      <c r="L31" s="27">
        <f>0</f>
        <v>0</v>
      </c>
      <c r="M31" s="27">
        <f>0</f>
        <v>0</v>
      </c>
      <c r="N31" s="27">
        <f>0</f>
        <v>0</v>
      </c>
      <c r="O31" s="27">
        <f>0</f>
        <v>0</v>
      </c>
      <c r="P31" s="27">
        <f>0</f>
        <v>0</v>
      </c>
      <c r="Q31" s="27">
        <f>0</f>
        <v>0</v>
      </c>
    </row>
    <row r="32">
      <c r="A32" s="21" t="s">
        <v>54</v>
      </c>
      <c r="B32" s="22" t="s">
        <v>55</v>
      </c>
      <c r="C32" s="23">
        <f>1970000</f>
        <v>1970000</v>
      </c>
      <c r="D32" s="23">
        <f>700000</f>
        <v>700000</v>
      </c>
      <c r="E32" s="23">
        <f>249469.63</f>
        <v>249469.63</v>
      </c>
      <c r="F32" s="23">
        <f>0</f>
        <v>0</v>
      </c>
      <c r="G32" s="23">
        <f>0</f>
        <v>0</v>
      </c>
      <c r="H32" s="24">
        <f>1250000</f>
        <v>1250000</v>
      </c>
      <c r="I32" s="24">
        <f>2000000</f>
        <v>2000000</v>
      </c>
      <c r="J32" s="25">
        <f>2590000</f>
        <v>2590000</v>
      </c>
      <c r="K32" s="26">
        <f>0</f>
        <v>0</v>
      </c>
      <c r="L32" s="27">
        <f>0</f>
        <v>0</v>
      </c>
      <c r="M32" s="27">
        <f>0</f>
        <v>0</v>
      </c>
      <c r="N32" s="27">
        <f>0</f>
        <v>0</v>
      </c>
      <c r="O32" s="27">
        <f>0</f>
        <v>0</v>
      </c>
      <c r="P32" s="27">
        <f>0</f>
        <v>0</v>
      </c>
      <c r="Q32" s="27">
        <f>0</f>
        <v>0</v>
      </c>
    </row>
    <row r="33">
      <c r="A33" s="21" t="s">
        <v>56</v>
      </c>
      <c r="B33" s="22" t="s">
        <v>57</v>
      </c>
      <c r="C33" s="23">
        <f>0</f>
        <v>0</v>
      </c>
      <c r="D33" s="23">
        <f>0</f>
        <v>0</v>
      </c>
      <c r="E33" s="23">
        <f>0</f>
        <v>0</v>
      </c>
      <c r="F33" s="23">
        <f>10063.83</f>
        <v>10063.83</v>
      </c>
      <c r="G33" s="23">
        <f>0</f>
        <v>0</v>
      </c>
      <c r="H33" s="24">
        <f>4477170.57</f>
        <v>4477170.5700000003</v>
      </c>
      <c r="I33" s="24">
        <f>979107.36</f>
        <v>979107.35999999999</v>
      </c>
      <c r="J33" s="25">
        <f>979107.36</f>
        <v>979107.35999999999</v>
      </c>
      <c r="K33" s="26">
        <f>0</f>
        <v>0</v>
      </c>
      <c r="L33" s="27">
        <f>0</f>
        <v>0</v>
      </c>
      <c r="M33" s="27">
        <f>0</f>
        <v>0</v>
      </c>
      <c r="N33" s="27">
        <f>0</f>
        <v>0</v>
      </c>
      <c r="O33" s="27">
        <f>0</f>
        <v>0</v>
      </c>
      <c r="P33" s="27">
        <f>0</f>
        <v>0</v>
      </c>
      <c r="Q33" s="27">
        <f>0</f>
        <v>0</v>
      </c>
    </row>
    <row r="34">
      <c r="A34" s="21" t="s">
        <v>58</v>
      </c>
      <c r="B34" s="22" t="s">
        <v>55</v>
      </c>
      <c r="C34" s="23">
        <f>0</f>
        <v>0</v>
      </c>
      <c r="D34" s="23">
        <f>0</f>
        <v>0</v>
      </c>
      <c r="E34" s="23">
        <f>0</f>
        <v>0</v>
      </c>
      <c r="F34" s="23">
        <f>0</f>
        <v>0</v>
      </c>
      <c r="G34" s="23">
        <f>0</f>
        <v>0</v>
      </c>
      <c r="H34" s="24">
        <f>4059878.49</f>
        <v>4059878.4900000002</v>
      </c>
      <c r="I34" s="24">
        <f>979107.36</f>
        <v>979107.35999999999</v>
      </c>
      <c r="J34" s="25">
        <f>979107.36</f>
        <v>979107.35999999999</v>
      </c>
      <c r="K34" s="26">
        <f>0</f>
        <v>0</v>
      </c>
      <c r="L34" s="27">
        <f>0</f>
        <v>0</v>
      </c>
      <c r="M34" s="27">
        <f>0</f>
        <v>0</v>
      </c>
      <c r="N34" s="27">
        <f>0</f>
        <v>0</v>
      </c>
      <c r="O34" s="27">
        <f>0</f>
        <v>0</v>
      </c>
      <c r="P34" s="27">
        <f>0</f>
        <v>0</v>
      </c>
      <c r="Q34" s="27">
        <f>0</f>
        <v>0</v>
      </c>
    </row>
    <row r="35">
      <c r="A35" s="21" t="s">
        <v>59</v>
      </c>
      <c r="B35" s="22" t="s">
        <v>60</v>
      </c>
      <c r="C35" s="23">
        <f>1323572</f>
        <v>1323572</v>
      </c>
      <c r="D35" s="23">
        <f>306828</f>
        <v>306828</v>
      </c>
      <c r="E35" s="23">
        <f>21635</f>
        <v>21635</v>
      </c>
      <c r="F35" s="23">
        <f>264123.58</f>
        <v>264123.58000000002</v>
      </c>
      <c r="G35" s="23">
        <f>307809.53</f>
        <v>307809.53000000003</v>
      </c>
      <c r="H35" s="24">
        <f>1398418.14</f>
        <v>1398418.1399999999</v>
      </c>
      <c r="I35" s="24">
        <f>1208862.86</f>
        <v>1208862.8600000001</v>
      </c>
      <c r="J35" s="25">
        <f>1208862.86</f>
        <v>1208862.8600000001</v>
      </c>
      <c r="K35" s="26">
        <f>0</f>
        <v>0</v>
      </c>
      <c r="L35" s="27">
        <f>0</f>
        <v>0</v>
      </c>
      <c r="M35" s="27">
        <f>0</f>
        <v>0</v>
      </c>
      <c r="N35" s="27">
        <f>0</f>
        <v>0</v>
      </c>
      <c r="O35" s="27">
        <f>0</f>
        <v>0</v>
      </c>
      <c r="P35" s="27">
        <f>0</f>
        <v>0</v>
      </c>
      <c r="Q35" s="27">
        <f>0</f>
        <v>0</v>
      </c>
    </row>
    <row r="36">
      <c r="A36" s="21" t="s">
        <v>61</v>
      </c>
      <c r="B36" s="22" t="s">
        <v>55</v>
      </c>
      <c r="C36" s="23">
        <f>150260</f>
        <v>150260</v>
      </c>
      <c r="D36" s="23">
        <f>0</f>
        <v>0</v>
      </c>
      <c r="E36" s="23">
        <f>21635</f>
        <v>21635</v>
      </c>
      <c r="F36" s="23">
        <f>0</f>
        <v>0</v>
      </c>
      <c r="G36" s="23">
        <f>0</f>
        <v>0</v>
      </c>
      <c r="H36" s="24">
        <f>1398418.14</f>
        <v>1398418.1399999999</v>
      </c>
      <c r="I36" s="24">
        <f>1208862.86</f>
        <v>1208862.8600000001</v>
      </c>
      <c r="J36" s="25">
        <f>1208862.86</f>
        <v>1208862.8600000001</v>
      </c>
      <c r="K36" s="26">
        <f>0</f>
        <v>0</v>
      </c>
      <c r="L36" s="27">
        <f>0</f>
        <v>0</v>
      </c>
      <c r="M36" s="27">
        <f>0</f>
        <v>0</v>
      </c>
      <c r="N36" s="27">
        <f>0</f>
        <v>0</v>
      </c>
      <c r="O36" s="27">
        <f>0</f>
        <v>0</v>
      </c>
      <c r="P36" s="27">
        <f>0</f>
        <v>0</v>
      </c>
      <c r="Q36" s="27">
        <f>0</f>
        <v>0</v>
      </c>
    </row>
    <row r="37">
      <c r="A37" s="21" t="s">
        <v>62</v>
      </c>
      <c r="B37" s="22" t="s">
        <v>63</v>
      </c>
      <c r="C37" s="23">
        <f>0</f>
        <v>0</v>
      </c>
      <c r="D37" s="23">
        <f>0</f>
        <v>0</v>
      </c>
      <c r="E37" s="23">
        <f>0</f>
        <v>0</v>
      </c>
      <c r="F37" s="23">
        <f>0</f>
        <v>0</v>
      </c>
      <c r="G37" s="23">
        <f>0</f>
        <v>0</v>
      </c>
      <c r="H37" s="24">
        <f>0</f>
        <v>0</v>
      </c>
      <c r="I37" s="24">
        <f>0</f>
        <v>0</v>
      </c>
      <c r="J37" s="25">
        <f>0</f>
        <v>0</v>
      </c>
      <c r="K37" s="26">
        <f>0</f>
        <v>0</v>
      </c>
      <c r="L37" s="27">
        <f>0</f>
        <v>0</v>
      </c>
      <c r="M37" s="27">
        <f>0</f>
        <v>0</v>
      </c>
      <c r="N37" s="27">
        <f>0</f>
        <v>0</v>
      </c>
      <c r="O37" s="27">
        <f>0</f>
        <v>0</v>
      </c>
      <c r="P37" s="27">
        <f>0</f>
        <v>0</v>
      </c>
      <c r="Q37" s="27">
        <f>0</f>
        <v>0</v>
      </c>
    </row>
    <row r="38">
      <c r="A38" s="21" t="s">
        <v>64</v>
      </c>
      <c r="B38" s="22" t="s">
        <v>55</v>
      </c>
      <c r="C38" s="23">
        <f>0</f>
        <v>0</v>
      </c>
      <c r="D38" s="23">
        <f>0</f>
        <v>0</v>
      </c>
      <c r="E38" s="23">
        <f>0</f>
        <v>0</v>
      </c>
      <c r="F38" s="23">
        <f>0</f>
        <v>0</v>
      </c>
      <c r="G38" s="23">
        <f>0</f>
        <v>0</v>
      </c>
      <c r="H38" s="24">
        <f>0</f>
        <v>0</v>
      </c>
      <c r="I38" s="24">
        <f>0</f>
        <v>0</v>
      </c>
      <c r="J38" s="25">
        <f>0</f>
        <v>0</v>
      </c>
      <c r="K38" s="26">
        <f>0</f>
        <v>0</v>
      </c>
      <c r="L38" s="27">
        <f>0</f>
        <v>0</v>
      </c>
      <c r="M38" s="27">
        <f>0</f>
        <v>0</v>
      </c>
      <c r="N38" s="27">
        <f>0</f>
        <v>0</v>
      </c>
      <c r="O38" s="27">
        <f>0</f>
        <v>0</v>
      </c>
      <c r="P38" s="27">
        <f>0</f>
        <v>0</v>
      </c>
      <c r="Q38" s="27">
        <f>0</f>
        <v>0</v>
      </c>
    </row>
    <row r="39">
      <c r="A39" s="21" t="s">
        <v>65</v>
      </c>
      <c r="B39" s="22" t="s">
        <v>66</v>
      </c>
      <c r="C39" s="23">
        <f>0</f>
        <v>0</v>
      </c>
      <c r="D39" s="23">
        <f>0</f>
        <v>0</v>
      </c>
      <c r="E39" s="23">
        <f>0</f>
        <v>0</v>
      </c>
      <c r="F39" s="23">
        <f>0</f>
        <v>0</v>
      </c>
      <c r="G39" s="23">
        <f>0</f>
        <v>0</v>
      </c>
      <c r="H39" s="24">
        <f>0</f>
        <v>0</v>
      </c>
      <c r="I39" s="24">
        <f>0</f>
        <v>0</v>
      </c>
      <c r="J39" s="25">
        <f>0</f>
        <v>0</v>
      </c>
      <c r="K39" s="26">
        <f>0</f>
        <v>0</v>
      </c>
      <c r="L39" s="27">
        <f>0</f>
        <v>0</v>
      </c>
      <c r="M39" s="27">
        <f>0</f>
        <v>0</v>
      </c>
      <c r="N39" s="27">
        <f>0</f>
        <v>0</v>
      </c>
      <c r="O39" s="27">
        <f>0</f>
        <v>0</v>
      </c>
      <c r="P39" s="27">
        <f>0</f>
        <v>0</v>
      </c>
      <c r="Q39" s="27">
        <f>0</f>
        <v>0</v>
      </c>
    </row>
    <row r="40">
      <c r="A40" s="21" t="s">
        <v>67</v>
      </c>
      <c r="B40" s="22" t="s">
        <v>55</v>
      </c>
      <c r="C40" s="23">
        <f>0</f>
        <v>0</v>
      </c>
      <c r="D40" s="23">
        <f>0</f>
        <v>0</v>
      </c>
      <c r="E40" s="23">
        <f>0</f>
        <v>0</v>
      </c>
      <c r="F40" s="23">
        <f>0</f>
        <v>0</v>
      </c>
      <c r="G40" s="23">
        <f>0</f>
        <v>0</v>
      </c>
      <c r="H40" s="24">
        <f>0</f>
        <v>0</v>
      </c>
      <c r="I40" s="24">
        <f>0</f>
        <v>0</v>
      </c>
      <c r="J40" s="25">
        <f>0</f>
        <v>0</v>
      </c>
      <c r="K40" s="26">
        <f>0</f>
        <v>0</v>
      </c>
      <c r="L40" s="27">
        <f>0</f>
        <v>0</v>
      </c>
      <c r="M40" s="27">
        <f>0</f>
        <v>0</v>
      </c>
      <c r="N40" s="27">
        <f>0</f>
        <v>0</v>
      </c>
      <c r="O40" s="27">
        <f>0</f>
        <v>0</v>
      </c>
      <c r="P40" s="27">
        <f>0</f>
        <v>0</v>
      </c>
      <c r="Q40" s="27">
        <f>0</f>
        <v>0</v>
      </c>
    </row>
    <row r="41">
      <c r="A41" s="28">
        <v>5</v>
      </c>
      <c r="B41" s="29" t="s">
        <v>68</v>
      </c>
      <c r="C41" s="30">
        <f>1173312</f>
        <v>1173312</v>
      </c>
      <c r="D41" s="30">
        <f>1097448</f>
        <v>1097448</v>
      </c>
      <c r="E41" s="30">
        <f>1137928</f>
        <v>1137928</v>
      </c>
      <c r="F41" s="30">
        <f>1135860</f>
        <v>1135860</v>
      </c>
      <c r="G41" s="30">
        <f>1004520</f>
        <v>1004520</v>
      </c>
      <c r="H41" s="31">
        <f>877740</f>
        <v>877740</v>
      </c>
      <c r="I41" s="31">
        <f>730000</f>
        <v>730000</v>
      </c>
      <c r="J41" s="32">
        <f>730000</f>
        <v>730000</v>
      </c>
      <c r="K41" s="33">
        <f>1440000</f>
        <v>1440000</v>
      </c>
      <c r="L41" s="34">
        <f>900000</f>
        <v>900000</v>
      </c>
      <c r="M41" s="34">
        <f>839950</f>
        <v>839950</v>
      </c>
      <c r="N41" s="34">
        <f>650000</f>
        <v>650000</v>
      </c>
      <c r="O41" s="34">
        <f>400000</f>
        <v>400000</v>
      </c>
      <c r="P41" s="34">
        <f>730000</f>
        <v>730000</v>
      </c>
      <c r="Q41" s="34">
        <f>120000</f>
        <v>120000</v>
      </c>
    </row>
    <row r="42">
      <c r="A42" s="21" t="s">
        <v>69</v>
      </c>
      <c r="B42" s="22" t="s">
        <v>70</v>
      </c>
      <c r="C42" s="23">
        <f>1173312</f>
        <v>1173312</v>
      </c>
      <c r="D42" s="23">
        <f>1097448</f>
        <v>1097448</v>
      </c>
      <c r="E42" s="23">
        <f>1137928</f>
        <v>1137928</v>
      </c>
      <c r="F42" s="23">
        <f>1135860</f>
        <v>1135860</v>
      </c>
      <c r="G42" s="23">
        <f>1004520</f>
        <v>1004520</v>
      </c>
      <c r="H42" s="24">
        <f>877740</f>
        <v>877740</v>
      </c>
      <c r="I42" s="24">
        <f>730000</f>
        <v>730000</v>
      </c>
      <c r="J42" s="25">
        <f>730000</f>
        <v>730000</v>
      </c>
      <c r="K42" s="26">
        <f>1440000</f>
        <v>1440000</v>
      </c>
      <c r="L42" s="27">
        <f>900000</f>
        <v>900000</v>
      </c>
      <c r="M42" s="27">
        <f>839950</f>
        <v>839950</v>
      </c>
      <c r="N42" s="27">
        <f>650000</f>
        <v>650000</v>
      </c>
      <c r="O42" s="27">
        <f>400000</f>
        <v>400000</v>
      </c>
      <c r="P42" s="27">
        <f>730000</f>
        <v>730000</v>
      </c>
      <c r="Q42" s="27">
        <f>120000</f>
        <v>120000</v>
      </c>
    </row>
    <row r="43">
      <c r="A43" s="21" t="s">
        <v>71</v>
      </c>
      <c r="B43" s="22" t="s">
        <v>72</v>
      </c>
      <c r="C43" s="23">
        <f>0</f>
        <v>0</v>
      </c>
      <c r="D43" s="23">
        <f>0</f>
        <v>0</v>
      </c>
      <c r="E43" s="23">
        <f>0</f>
        <v>0</v>
      </c>
      <c r="F43" s="23">
        <f>0</f>
        <v>0</v>
      </c>
      <c r="G43" s="23">
        <f>0</f>
        <v>0</v>
      </c>
      <c r="H43" s="24">
        <f>0</f>
        <v>0</v>
      </c>
      <c r="I43" s="24">
        <f>0</f>
        <v>0</v>
      </c>
      <c r="J43" s="25">
        <f>0</f>
        <v>0</v>
      </c>
      <c r="K43" s="26">
        <f>590000</f>
        <v>590000</v>
      </c>
      <c r="L43" s="27">
        <f>0</f>
        <v>0</v>
      </c>
      <c r="M43" s="27">
        <f>0</f>
        <v>0</v>
      </c>
      <c r="N43" s="27">
        <f>0</f>
        <v>0</v>
      </c>
      <c r="O43" s="27">
        <f>0</f>
        <v>0</v>
      </c>
      <c r="P43" s="27">
        <f>0</f>
        <v>0</v>
      </c>
      <c r="Q43" s="27">
        <f>0</f>
        <v>0</v>
      </c>
    </row>
    <row r="44">
      <c r="A44" s="21" t="s">
        <v>73</v>
      </c>
      <c r="B44" s="22" t="s">
        <v>74</v>
      </c>
      <c r="C44" s="23">
        <f>0</f>
        <v>0</v>
      </c>
      <c r="D44" s="23">
        <f>0</f>
        <v>0</v>
      </c>
      <c r="E44" s="23">
        <f>0</f>
        <v>0</v>
      </c>
      <c r="F44" s="23">
        <f>0</f>
        <v>0</v>
      </c>
      <c r="G44" s="23">
        <f>0</f>
        <v>0</v>
      </c>
      <c r="H44" s="24">
        <f>0</f>
        <v>0</v>
      </c>
      <c r="I44" s="24">
        <f>0</f>
        <v>0</v>
      </c>
      <c r="J44" s="25">
        <f>0</f>
        <v>0</v>
      </c>
      <c r="K44" s="26">
        <f>590000</f>
        <v>590000</v>
      </c>
      <c r="L44" s="27">
        <f>0</f>
        <v>0</v>
      </c>
      <c r="M44" s="27">
        <f>0</f>
        <v>0</v>
      </c>
      <c r="N44" s="27">
        <f>0</f>
        <v>0</v>
      </c>
      <c r="O44" s="27">
        <f>0</f>
        <v>0</v>
      </c>
      <c r="P44" s="27">
        <f>0</f>
        <v>0</v>
      </c>
      <c r="Q44" s="27">
        <f>0</f>
        <v>0</v>
      </c>
    </row>
    <row r="45">
      <c r="A45" s="21" t="s">
        <v>75</v>
      </c>
      <c r="B45" s="22" t="s">
        <v>76</v>
      </c>
      <c r="C45" s="23">
        <f>0</f>
        <v>0</v>
      </c>
      <c r="D45" s="23">
        <f>0</f>
        <v>0</v>
      </c>
      <c r="E45" s="23">
        <f>0</f>
        <v>0</v>
      </c>
      <c r="F45" s="23">
        <f>0</f>
        <v>0</v>
      </c>
      <c r="G45" s="23">
        <f>0</f>
        <v>0</v>
      </c>
      <c r="H45" s="24">
        <f>0</f>
        <v>0</v>
      </c>
      <c r="I45" s="24">
        <f>0</f>
        <v>0</v>
      </c>
      <c r="J45" s="25">
        <f>0</f>
        <v>0</v>
      </c>
      <c r="K45" s="26">
        <f>0</f>
        <v>0</v>
      </c>
      <c r="L45" s="27">
        <f>0</f>
        <v>0</v>
      </c>
      <c r="M45" s="27">
        <f>0</f>
        <v>0</v>
      </c>
      <c r="N45" s="27">
        <f>0</f>
        <v>0</v>
      </c>
      <c r="O45" s="27">
        <f>0</f>
        <v>0</v>
      </c>
      <c r="P45" s="27">
        <f>0</f>
        <v>0</v>
      </c>
      <c r="Q45" s="27">
        <f>0</f>
        <v>0</v>
      </c>
    </row>
    <row r="46">
      <c r="A46" s="21" t="s">
        <v>77</v>
      </c>
      <c r="B46" s="22" t="s">
        <v>78</v>
      </c>
      <c r="C46" s="23">
        <f>0</f>
        <v>0</v>
      </c>
      <c r="D46" s="23">
        <f>0</f>
        <v>0</v>
      </c>
      <c r="E46" s="23">
        <f>0</f>
        <v>0</v>
      </c>
      <c r="F46" s="23">
        <f>0</f>
        <v>0</v>
      </c>
      <c r="G46" s="23">
        <f>0</f>
        <v>0</v>
      </c>
      <c r="H46" s="24">
        <f>0</f>
        <v>0</v>
      </c>
      <c r="I46" s="24">
        <f>0</f>
        <v>0</v>
      </c>
      <c r="J46" s="25">
        <f>0</f>
        <v>0</v>
      </c>
      <c r="K46" s="26">
        <f>0</f>
        <v>0</v>
      </c>
      <c r="L46" s="27">
        <f>0</f>
        <v>0</v>
      </c>
      <c r="M46" s="27">
        <f>0</f>
        <v>0</v>
      </c>
      <c r="N46" s="27">
        <f>0</f>
        <v>0</v>
      </c>
      <c r="O46" s="27">
        <f>0</f>
        <v>0</v>
      </c>
      <c r="P46" s="27">
        <f>0</f>
        <v>0</v>
      </c>
      <c r="Q46" s="27">
        <f>0</f>
        <v>0</v>
      </c>
    </row>
    <row r="47">
      <c r="A47" s="21" t="s">
        <v>79</v>
      </c>
      <c r="B47" s="22" t="s">
        <v>80</v>
      </c>
      <c r="C47" s="23">
        <f>0</f>
        <v>0</v>
      </c>
      <c r="D47" s="23">
        <f>0</f>
        <v>0</v>
      </c>
      <c r="E47" s="23">
        <f>0</f>
        <v>0</v>
      </c>
      <c r="F47" s="23">
        <f>0</f>
        <v>0</v>
      </c>
      <c r="G47" s="23">
        <f>0</f>
        <v>0</v>
      </c>
      <c r="H47" s="24">
        <f>0</f>
        <v>0</v>
      </c>
      <c r="I47" s="24">
        <f>0</f>
        <v>0</v>
      </c>
      <c r="J47" s="25">
        <f>0</f>
        <v>0</v>
      </c>
      <c r="K47" s="26">
        <f>0</f>
        <v>0</v>
      </c>
      <c r="L47" s="27">
        <f>0</f>
        <v>0</v>
      </c>
      <c r="M47" s="27">
        <f>0</f>
        <v>0</v>
      </c>
      <c r="N47" s="27">
        <f>0</f>
        <v>0</v>
      </c>
      <c r="O47" s="27">
        <f>0</f>
        <v>0</v>
      </c>
      <c r="P47" s="27">
        <f>0</f>
        <v>0</v>
      </c>
      <c r="Q47" s="27">
        <f>0</f>
        <v>0</v>
      </c>
    </row>
    <row r="48">
      <c r="A48" s="21" t="s">
        <v>81</v>
      </c>
      <c r="B48" s="22" t="s">
        <v>82</v>
      </c>
      <c r="C48" s="23">
        <f>0</f>
        <v>0</v>
      </c>
      <c r="D48" s="23">
        <f>0</f>
        <v>0</v>
      </c>
      <c r="E48" s="23">
        <f>0</f>
        <v>0</v>
      </c>
      <c r="F48" s="23">
        <f>0</f>
        <v>0</v>
      </c>
      <c r="G48" s="23">
        <f>0</f>
        <v>0</v>
      </c>
      <c r="H48" s="24">
        <f>0</f>
        <v>0</v>
      </c>
      <c r="I48" s="24">
        <f>0</f>
        <v>0</v>
      </c>
      <c r="J48" s="25">
        <f>0</f>
        <v>0</v>
      </c>
      <c r="K48" s="26">
        <f>0</f>
        <v>0</v>
      </c>
      <c r="L48" s="27">
        <f>0</f>
        <v>0</v>
      </c>
      <c r="M48" s="27">
        <f>0</f>
        <v>0</v>
      </c>
      <c r="N48" s="27">
        <f>0</f>
        <v>0</v>
      </c>
      <c r="O48" s="27">
        <f>0</f>
        <v>0</v>
      </c>
      <c r="P48" s="27">
        <f>0</f>
        <v>0</v>
      </c>
      <c r="Q48" s="27">
        <f>0</f>
        <v>0</v>
      </c>
    </row>
    <row r="49">
      <c r="A49" s="21" t="s">
        <v>83</v>
      </c>
      <c r="B49" s="22" t="s">
        <v>84</v>
      </c>
      <c r="C49" s="23">
        <f>0</f>
        <v>0</v>
      </c>
      <c r="D49" s="23">
        <f>0</f>
        <v>0</v>
      </c>
      <c r="E49" s="23">
        <f>0</f>
        <v>0</v>
      </c>
      <c r="F49" s="23">
        <f>0</f>
        <v>0</v>
      </c>
      <c r="G49" s="23">
        <f>0</f>
        <v>0</v>
      </c>
      <c r="H49" s="24">
        <f>0</f>
        <v>0</v>
      </c>
      <c r="I49" s="24">
        <f>0</f>
        <v>0</v>
      </c>
      <c r="J49" s="25">
        <f>0</f>
        <v>0</v>
      </c>
      <c r="K49" s="26">
        <f>0</f>
        <v>0</v>
      </c>
      <c r="L49" s="27">
        <f>0</f>
        <v>0</v>
      </c>
      <c r="M49" s="27">
        <f>0</f>
        <v>0</v>
      </c>
      <c r="N49" s="27">
        <f>0</f>
        <v>0</v>
      </c>
      <c r="O49" s="27">
        <f>0</f>
        <v>0</v>
      </c>
      <c r="P49" s="27">
        <f>0</f>
        <v>0</v>
      </c>
      <c r="Q49" s="27">
        <f>0</f>
        <v>0</v>
      </c>
    </row>
    <row r="50">
      <c r="A50" s="21" t="s">
        <v>85</v>
      </c>
      <c r="B50" s="22" t="s">
        <v>86</v>
      </c>
      <c r="C50" s="23">
        <f>0</f>
        <v>0</v>
      </c>
      <c r="D50" s="23">
        <f>0</f>
        <v>0</v>
      </c>
      <c r="E50" s="23">
        <f>0</f>
        <v>0</v>
      </c>
      <c r="F50" s="23">
        <f>0</f>
        <v>0</v>
      </c>
      <c r="G50" s="23">
        <f>0</f>
        <v>0</v>
      </c>
      <c r="H50" s="24">
        <f>0</f>
        <v>0</v>
      </c>
      <c r="I50" s="24">
        <f>0</f>
        <v>0</v>
      </c>
      <c r="J50" s="25">
        <f>0</f>
        <v>0</v>
      </c>
      <c r="K50" s="26">
        <f>0</f>
        <v>0</v>
      </c>
      <c r="L50" s="27">
        <f>0</f>
        <v>0</v>
      </c>
      <c r="M50" s="27">
        <f>0</f>
        <v>0</v>
      </c>
      <c r="N50" s="27">
        <f>0</f>
        <v>0</v>
      </c>
      <c r="O50" s="27">
        <f>0</f>
        <v>0</v>
      </c>
      <c r="P50" s="27">
        <f>0</f>
        <v>0</v>
      </c>
      <c r="Q50" s="27">
        <f>0</f>
        <v>0</v>
      </c>
    </row>
    <row r="51">
      <c r="A51" s="21" t="s">
        <v>87</v>
      </c>
      <c r="B51" s="22" t="s">
        <v>88</v>
      </c>
      <c r="C51" s="23">
        <f>0</f>
        <v>0</v>
      </c>
      <c r="D51" s="23">
        <f>0</f>
        <v>0</v>
      </c>
      <c r="E51" s="23">
        <f>0</f>
        <v>0</v>
      </c>
      <c r="F51" s="23">
        <f>0</f>
        <v>0</v>
      </c>
      <c r="G51" s="23">
        <f>0</f>
        <v>0</v>
      </c>
      <c r="H51" s="24">
        <f>0</f>
        <v>0</v>
      </c>
      <c r="I51" s="24">
        <f>0</f>
        <v>0</v>
      </c>
      <c r="J51" s="25">
        <f>0</f>
        <v>0</v>
      </c>
      <c r="K51" s="26">
        <f>0</f>
        <v>0</v>
      </c>
      <c r="L51" s="27">
        <f>0</f>
        <v>0</v>
      </c>
      <c r="M51" s="27">
        <f>0</f>
        <v>0</v>
      </c>
      <c r="N51" s="27">
        <f>0</f>
        <v>0</v>
      </c>
      <c r="O51" s="27">
        <f>0</f>
        <v>0</v>
      </c>
      <c r="P51" s="27">
        <f>0</f>
        <v>0</v>
      </c>
      <c r="Q51" s="27">
        <f>0</f>
        <v>0</v>
      </c>
    </row>
    <row r="52">
      <c r="A52" s="28" t="s">
        <v>89</v>
      </c>
      <c r="B52" s="29" t="s">
        <v>90</v>
      </c>
      <c r="C52" s="30">
        <f>4136076</f>
        <v>4136076</v>
      </c>
      <c r="D52" s="30">
        <f>3738628</f>
        <v>3738628</v>
      </c>
      <c r="E52" s="30">
        <f>4240650</f>
        <v>4240650</v>
      </c>
      <c r="F52" s="30">
        <f>3104790</f>
        <v>3104790</v>
      </c>
      <c r="G52" s="30">
        <f>1997690</f>
        <v>1997690</v>
      </c>
      <c r="H52" s="31">
        <f>2369950</f>
        <v>2369950</v>
      </c>
      <c r="I52" s="31">
        <f>4369950</f>
        <v>4369950</v>
      </c>
      <c r="J52" s="32">
        <f>4229950</f>
        <v>4229950</v>
      </c>
      <c r="K52" s="33">
        <f>3639950</f>
        <v>3639950</v>
      </c>
      <c r="L52" s="34">
        <f>2739950</f>
        <v>2739950</v>
      </c>
      <c r="M52" s="34">
        <f>1900000</f>
        <v>1900000</v>
      </c>
      <c r="N52" s="34">
        <f>1250000</f>
        <v>1250000</v>
      </c>
      <c r="O52" s="34">
        <f>850000</f>
        <v>850000</v>
      </c>
      <c r="P52" s="34">
        <f>120000</f>
        <v>120000</v>
      </c>
      <c r="Q52" s="34">
        <f>0</f>
        <v>0</v>
      </c>
    </row>
    <row r="53">
      <c r="A53" s="21" t="s">
        <v>91</v>
      </c>
      <c r="B53" s="22" t="s">
        <v>92</v>
      </c>
      <c r="C53" s="23">
        <f>0</f>
        <v>0</v>
      </c>
      <c r="D53" s="23">
        <f>0</f>
        <v>0</v>
      </c>
      <c r="E53" s="23">
        <f>0</f>
        <v>0</v>
      </c>
      <c r="F53" s="23">
        <f>0</f>
        <v>0</v>
      </c>
      <c r="G53" s="23">
        <f>0</f>
        <v>0</v>
      </c>
      <c r="H53" s="24">
        <f>0</f>
        <v>0</v>
      </c>
      <c r="I53" s="24">
        <f>0</f>
        <v>0</v>
      </c>
      <c r="J53" s="25">
        <f>0</f>
        <v>0</v>
      </c>
      <c r="K53" s="26">
        <f>0</f>
        <v>0</v>
      </c>
      <c r="L53" s="27">
        <f>0</f>
        <v>0</v>
      </c>
      <c r="M53" s="27">
        <f>0</f>
        <v>0</v>
      </c>
      <c r="N53" s="27">
        <f>0</f>
        <v>0</v>
      </c>
      <c r="O53" s="27">
        <f>0</f>
        <v>0</v>
      </c>
      <c r="P53" s="27">
        <f>0</f>
        <v>0</v>
      </c>
      <c r="Q53" s="27">
        <f>0</f>
        <v>0</v>
      </c>
    </row>
    <row r="54">
      <c r="A54" s="28">
        <v>7</v>
      </c>
      <c r="B54" s="29" t="s">
        <v>93</v>
      </c>
      <c r="C54" s="35" t="s">
        <v>94</v>
      </c>
      <c r="D54" s="35" t="s">
        <v>94</v>
      </c>
      <c r="E54" s="35" t="s">
        <v>94</v>
      </c>
      <c r="F54" s="35" t="s">
        <v>94</v>
      </c>
      <c r="G54" s="35" t="s">
        <v>94</v>
      </c>
      <c r="H54" s="36" t="s">
        <v>94</v>
      </c>
      <c r="I54" s="36" t="s">
        <v>94</v>
      </c>
      <c r="J54" s="37" t="s">
        <v>94</v>
      </c>
      <c r="K54" s="38" t="s">
        <v>94</v>
      </c>
      <c r="L54" s="39" t="s">
        <v>94</v>
      </c>
      <c r="M54" s="39" t="s">
        <v>94</v>
      </c>
      <c r="N54" s="39" t="s">
        <v>94</v>
      </c>
      <c r="O54" s="39" t="s">
        <v>94</v>
      </c>
      <c r="P54" s="39" t="s">
        <v>94</v>
      </c>
      <c r="Q54" s="39" t="s">
        <v>94</v>
      </c>
    </row>
    <row r="55">
      <c r="A55" s="40" t="s">
        <v>95</v>
      </c>
      <c r="B55" s="41" t="s">
        <v>96</v>
      </c>
      <c r="C55" s="23">
        <f>2164511.22</f>
        <v>2164511.2200000002</v>
      </c>
      <c r="D55" s="23">
        <f>1951286</f>
        <v>1951286</v>
      </c>
      <c r="E55" s="23">
        <f>1840067.61</f>
        <v>1840067.6100000001</v>
      </c>
      <c r="F55" s="23">
        <f>2642308.7</f>
        <v>2642308.7000000002</v>
      </c>
      <c r="G55" s="23">
        <f>2474066.16</f>
        <v>2474066.1600000001</v>
      </c>
      <c r="H55" s="24">
        <f>2605388.23</f>
        <v>2605388.23</v>
      </c>
      <c r="I55" s="24">
        <f>82879.61</f>
        <v>82879.610000000001</v>
      </c>
      <c r="J55" s="25">
        <f>362554.03</f>
        <v>362554.03000000003</v>
      </c>
      <c r="K55" s="26">
        <f>1385003.74</f>
        <v>1385003.74</v>
      </c>
      <c r="L55" s="27">
        <f>1529309</f>
        <v>1529309</v>
      </c>
      <c r="M55" s="27">
        <f>1407141</f>
        <v>1407141</v>
      </c>
      <c r="N55" s="27">
        <f>650000</f>
        <v>650000</v>
      </c>
      <c r="O55" s="27">
        <f>400000</f>
        <v>400000</v>
      </c>
      <c r="P55" s="27">
        <f>730000</f>
        <v>730000</v>
      </c>
      <c r="Q55" s="27">
        <f>120000</f>
        <v>120000</v>
      </c>
    </row>
    <row r="56">
      <c r="A56" s="21" t="s">
        <v>97</v>
      </c>
      <c r="B56" s="22" t="s">
        <v>98</v>
      </c>
      <c r="C56" s="23">
        <f>3488083.22</f>
        <v>3488083.2200000002</v>
      </c>
      <c r="D56" s="23">
        <f>2258114</f>
        <v>2258114</v>
      </c>
      <c r="E56" s="23">
        <f>1861702.61</f>
        <v>1861702.6100000001</v>
      </c>
      <c r="F56" s="23">
        <f>2916496.11</f>
        <v>2916496.1099999999</v>
      </c>
      <c r="G56" s="23">
        <f>2781875.69</f>
        <v>2781875.6899999999</v>
      </c>
      <c r="H56" s="24">
        <f>8480976.94</f>
        <v>8480976.9399999995</v>
      </c>
      <c r="I56" s="24">
        <f>2270849.83</f>
        <v>2270849.8300000001</v>
      </c>
      <c r="J56" s="25">
        <f>2550524.25</f>
        <v>2550524.25</v>
      </c>
      <c r="K56" s="26">
        <f>1385003.74</f>
        <v>1385003.74</v>
      </c>
      <c r="L56" s="27">
        <f>1529309</f>
        <v>1529309</v>
      </c>
      <c r="M56" s="27">
        <f>1407141</f>
        <v>1407141</v>
      </c>
      <c r="N56" s="27">
        <f>650000</f>
        <v>650000</v>
      </c>
      <c r="O56" s="27">
        <f>400000</f>
        <v>400000</v>
      </c>
      <c r="P56" s="27">
        <f>730000</f>
        <v>730000</v>
      </c>
      <c r="Q56" s="27">
        <f>120000</f>
        <v>120000</v>
      </c>
    </row>
    <row r="57">
      <c r="A57" s="28">
        <v>8</v>
      </c>
      <c r="B57" s="29" t="s">
        <v>99</v>
      </c>
      <c r="C57" s="35" t="s">
        <v>94</v>
      </c>
      <c r="D57" s="35" t="s">
        <v>94</v>
      </c>
      <c r="E57" s="35" t="s">
        <v>94</v>
      </c>
      <c r="F57" s="35" t="s">
        <v>94</v>
      </c>
      <c r="G57" s="35" t="s">
        <v>94</v>
      </c>
      <c r="H57" s="36" t="s">
        <v>94</v>
      </c>
      <c r="I57" s="36" t="s">
        <v>94</v>
      </c>
      <c r="J57" s="37" t="s">
        <v>94</v>
      </c>
      <c r="K57" s="38" t="s">
        <v>94</v>
      </c>
      <c r="L57" s="39" t="s">
        <v>94</v>
      </c>
      <c r="M57" s="39" t="s">
        <v>94</v>
      </c>
      <c r="N57" s="39" t="s">
        <v>94</v>
      </c>
      <c r="O57" s="39" t="s">
        <v>94</v>
      </c>
      <c r="P57" s="39" t="s">
        <v>94</v>
      </c>
      <c r="Q57" s="39" t="s">
        <v>94</v>
      </c>
    </row>
    <row r="58">
      <c r="A58" s="21" t="s">
        <v>100</v>
      </c>
      <c r="B58" s="22" t="s">
        <v>101</v>
      </c>
      <c r="C58" s="35" t="s">
        <v>94</v>
      </c>
      <c r="D58" s="35" t="s">
        <v>94</v>
      </c>
      <c r="E58" s="35" t="s">
        <v>94</v>
      </c>
      <c r="F58" s="35" t="s">
        <v>94</v>
      </c>
      <c r="G58" s="35" t="s">
        <v>94</v>
      </c>
      <c r="H58" s="36" t="s">
        <v>94</v>
      </c>
      <c r="I58" s="36" t="s">
        <v>94</v>
      </c>
      <c r="J58" s="37" t="s">
        <v>94</v>
      </c>
      <c r="K58" s="42">
        <f>0.0408</f>
        <v>0.040800000000000003</v>
      </c>
      <c r="L58" s="43">
        <f>0.0455</f>
        <v>0.045499999999999999</v>
      </c>
      <c r="M58" s="43">
        <f>0.0423</f>
        <v>0.042299999999999997</v>
      </c>
      <c r="N58" s="43">
        <f>0.0315</f>
        <v>0.0315</v>
      </c>
      <c r="O58" s="43">
        <f>0.0158</f>
        <v>0.015800000000000002</v>
      </c>
      <c r="P58" s="43">
        <f>0.0281</f>
        <v>0.0281</v>
      </c>
      <c r="Q58" s="43">
        <f>0.0042</f>
        <v>0.0041999999999999997</v>
      </c>
    </row>
    <row r="59">
      <c r="A59" s="44" t="s">
        <v>102</v>
      </c>
      <c r="B59" s="22" t="s">
        <v>102</v>
      </c>
      <c r="C59" s="35" t="s">
        <v>94</v>
      </c>
      <c r="D59" s="35" t="s">
        <v>94</v>
      </c>
      <c r="E59" s="35" t="s">
        <v>94</v>
      </c>
      <c r="F59" s="35" t="s">
        <v>94</v>
      </c>
      <c r="G59" s="35" t="s">
        <v>94</v>
      </c>
      <c r="H59" s="36" t="s">
        <v>94</v>
      </c>
      <c r="I59" s="36" t="s">
        <v>94</v>
      </c>
      <c r="J59" s="37" t="s">
        <v>94</v>
      </c>
      <c r="K59" s="42">
        <f>0.0408</f>
        <v>0.040800000000000003</v>
      </c>
      <c r="L59" s="43">
        <f>0.0455</f>
        <v>0.045499999999999999</v>
      </c>
      <c r="M59" s="43">
        <f>0.0423</f>
        <v>0.042299999999999997</v>
      </c>
      <c r="N59" s="43">
        <f>0.0315</f>
        <v>0.0315</v>
      </c>
      <c r="O59" s="43">
        <f>0.0158</f>
        <v>0.015800000000000002</v>
      </c>
      <c r="P59" s="43">
        <f>0.0281</f>
        <v>0.0281</v>
      </c>
      <c r="Q59" s="43">
        <f>0.0042</f>
        <v>0.0041999999999999997</v>
      </c>
    </row>
    <row r="60">
      <c r="A60" s="44" t="s">
        <v>103</v>
      </c>
      <c r="B60" s="22" t="s">
        <v>103</v>
      </c>
      <c r="C60" s="35" t="s">
        <v>94</v>
      </c>
      <c r="D60" s="35" t="s">
        <v>94</v>
      </c>
      <c r="E60" s="35" t="s">
        <v>94</v>
      </c>
      <c r="F60" s="35" t="s">
        <v>94</v>
      </c>
      <c r="G60" s="35" t="s">
        <v>94</v>
      </c>
      <c r="H60" s="36" t="s">
        <v>94</v>
      </c>
      <c r="I60" s="36" t="s">
        <v>94</v>
      </c>
      <c r="J60" s="37" t="s">
        <v>94</v>
      </c>
      <c r="K60" s="42">
        <f>0.0408</f>
        <v>0.040800000000000003</v>
      </c>
      <c r="L60" s="43">
        <f>0.0455</f>
        <v>0.045499999999999999</v>
      </c>
      <c r="M60" s="43">
        <f>0.0423</f>
        <v>0.042299999999999997</v>
      </c>
      <c r="N60" s="43">
        <f>0.0315</f>
        <v>0.0315</v>
      </c>
      <c r="O60" s="43">
        <f>0.0158</f>
        <v>0.015800000000000002</v>
      </c>
      <c r="P60" s="43">
        <f>0.0281</f>
        <v>0.0281</v>
      </c>
      <c r="Q60" s="43">
        <f>0.0042</f>
        <v>0.0041999999999999997</v>
      </c>
    </row>
    <row r="61">
      <c r="A61" s="44" t="s">
        <v>104</v>
      </c>
      <c r="B61" s="22" t="s">
        <v>104</v>
      </c>
      <c r="C61" s="35" t="s">
        <v>94</v>
      </c>
      <c r="D61" s="35" t="s">
        <v>94</v>
      </c>
      <c r="E61" s="35" t="s">
        <v>94</v>
      </c>
      <c r="F61" s="35" t="s">
        <v>94</v>
      </c>
      <c r="G61" s="35" t="s">
        <v>94</v>
      </c>
      <c r="H61" s="36" t="s">
        <v>94</v>
      </c>
      <c r="I61" s="36" t="s">
        <v>94</v>
      </c>
      <c r="J61" s="37" t="s">
        <v>94</v>
      </c>
      <c r="K61" s="42">
        <f>0.0408</f>
        <v>0.040800000000000003</v>
      </c>
      <c r="L61" s="43">
        <f>0.0455</f>
        <v>0.045499999999999999</v>
      </c>
      <c r="M61" s="43">
        <f>0</f>
        <v>0</v>
      </c>
      <c r="N61" s="43">
        <f>0</f>
        <v>0</v>
      </c>
      <c r="O61" s="43">
        <f>0</f>
        <v>0</v>
      </c>
      <c r="P61" s="43">
        <f>0</f>
        <v>0</v>
      </c>
      <c r="Q61" s="43">
        <f>0</f>
        <v>0</v>
      </c>
    </row>
    <row r="62">
      <c r="A62" s="21" t="s">
        <v>105</v>
      </c>
      <c r="B62" s="22" t="s">
        <v>106</v>
      </c>
      <c r="C62" s="45">
        <f>0.1405</f>
        <v>0.14050000000000001</v>
      </c>
      <c r="D62" s="45">
        <f>0.1248</f>
        <v>0.12479999999999999</v>
      </c>
      <c r="E62" s="45">
        <f>0.1109</f>
        <v>0.1109</v>
      </c>
      <c r="F62" s="45">
        <f>0.1505</f>
        <v>0.15049999999999999</v>
      </c>
      <c r="G62" s="45">
        <f>0.1198</f>
        <v>0.1198</v>
      </c>
      <c r="H62" s="46">
        <f>0.1221</f>
        <v>0.1221</v>
      </c>
      <c r="I62" s="46">
        <f>0.0163</f>
        <v>0.016299999999999999</v>
      </c>
      <c r="J62" s="47">
        <f>0.026</f>
        <v>0.025999999999999999</v>
      </c>
      <c r="K62" s="42">
        <f>0.0607</f>
        <v>0.060699999999999997</v>
      </c>
      <c r="L62" s="43">
        <f>0.0757</f>
        <v>0.075700000000000003</v>
      </c>
      <c r="M62" s="43">
        <f>0.0696</f>
        <v>0.069599999999999995</v>
      </c>
      <c r="N62" s="43">
        <f>0.0315</f>
        <v>0.0315</v>
      </c>
      <c r="O62" s="43">
        <f>0.0158</f>
        <v>0.015800000000000002</v>
      </c>
      <c r="P62" s="43">
        <f>0.0281</f>
        <v>0.0281</v>
      </c>
      <c r="Q62" s="43">
        <f>0.0042</f>
        <v>0.0041999999999999997</v>
      </c>
    </row>
    <row r="63">
      <c r="A63" s="44" t="s">
        <v>107</v>
      </c>
      <c r="B63" s="22" t="s">
        <v>107</v>
      </c>
      <c r="C63" s="45">
        <f>0.142</f>
        <v>0.14199999999999999</v>
      </c>
      <c r="D63" s="45">
        <f>0.1248</f>
        <v>0.12479999999999999</v>
      </c>
      <c r="E63" s="45">
        <f>0.1109</f>
        <v>0.1109</v>
      </c>
      <c r="F63" s="45">
        <f>0.1505</f>
        <v>0.15049999999999999</v>
      </c>
      <c r="G63" s="45">
        <f>0.1219</f>
        <v>0.12189999999999999</v>
      </c>
      <c r="H63" s="46">
        <f>0.1221</f>
        <v>0.1221</v>
      </c>
      <c r="I63" s="46">
        <f>0.0163</f>
        <v>0.016299999999999999</v>
      </c>
      <c r="J63" s="47">
        <f>0.026</f>
        <v>0.025999999999999999</v>
      </c>
      <c r="K63" s="42">
        <f>0.0607</f>
        <v>0.060699999999999997</v>
      </c>
      <c r="L63" s="43">
        <f>0</f>
        <v>0</v>
      </c>
      <c r="M63" s="43">
        <f>0</f>
        <v>0</v>
      </c>
      <c r="N63" s="43">
        <f>0</f>
        <v>0</v>
      </c>
      <c r="O63" s="43">
        <f>0</f>
        <v>0</v>
      </c>
      <c r="P63" s="43">
        <f>0</f>
        <v>0</v>
      </c>
      <c r="Q63" s="43">
        <f>0</f>
        <v>0</v>
      </c>
    </row>
    <row r="64">
      <c r="A64" s="44" t="s">
        <v>108</v>
      </c>
      <c r="B64" s="22" t="s">
        <v>108</v>
      </c>
      <c r="C64" s="45">
        <f>0.1405</f>
        <v>0.14050000000000001</v>
      </c>
      <c r="D64" s="45">
        <f>0.1248</f>
        <v>0.12479999999999999</v>
      </c>
      <c r="E64" s="45">
        <f>0.1109</f>
        <v>0.1109</v>
      </c>
      <c r="F64" s="45">
        <f>0.1505</f>
        <v>0.15049999999999999</v>
      </c>
      <c r="G64" s="45">
        <f>0.1198</f>
        <v>0.1198</v>
      </c>
      <c r="H64" s="46">
        <f>0.1221</f>
        <v>0.1221</v>
      </c>
      <c r="I64" s="46">
        <f>0.0163</f>
        <v>0.016299999999999999</v>
      </c>
      <c r="J64" s="47">
        <f>0.026</f>
        <v>0.025999999999999999</v>
      </c>
      <c r="K64" s="42">
        <f>0.0607</f>
        <v>0.060699999999999997</v>
      </c>
      <c r="L64" s="43">
        <f>0.0757</f>
        <v>0.075700000000000003</v>
      </c>
      <c r="M64" s="43">
        <f>0.0696</f>
        <v>0.069599999999999995</v>
      </c>
      <c r="N64" s="43">
        <f>0.0315</f>
        <v>0.0315</v>
      </c>
      <c r="O64" s="43">
        <f>0.0158</f>
        <v>0.015800000000000002</v>
      </c>
      <c r="P64" s="43">
        <f>0.0281</f>
        <v>0.0281</v>
      </c>
      <c r="Q64" s="43">
        <f>0.0042</f>
        <v>0.0041999999999999997</v>
      </c>
    </row>
    <row r="65">
      <c r="A65" s="21" t="s">
        <v>109</v>
      </c>
      <c r="B65" s="22" t="s">
        <v>110</v>
      </c>
      <c r="C65" s="35" t="s">
        <v>94</v>
      </c>
      <c r="D65" s="35" t="s">
        <v>94</v>
      </c>
      <c r="E65" s="35" t="s">
        <v>94</v>
      </c>
      <c r="F65" s="35" t="s">
        <v>94</v>
      </c>
      <c r="G65" s="35" t="s">
        <v>94</v>
      </c>
      <c r="H65" s="36" t="s">
        <v>94</v>
      </c>
      <c r="I65" s="36" t="s">
        <v>94</v>
      </c>
      <c r="J65" s="37" t="s">
        <v>94</v>
      </c>
      <c r="K65" s="42">
        <f>0.1126</f>
        <v>0.11260000000000001</v>
      </c>
      <c r="L65" s="43">
        <f>0.101</f>
        <v>0.10100000000000001</v>
      </c>
      <c r="M65" s="43">
        <f>0.0937</f>
        <v>0.093700000000000006</v>
      </c>
      <c r="N65" s="43">
        <f>0.0878</f>
        <v>0.087800000000000003</v>
      </c>
      <c r="O65" s="43">
        <f>0.0708</f>
        <v>0.070800000000000002</v>
      </c>
      <c r="P65" s="43">
        <f>0.056</f>
        <v>0.056000000000000001</v>
      </c>
      <c r="Q65" s="43">
        <f>0.0425</f>
        <v>0.042500000000000003</v>
      </c>
    </row>
    <row r="66">
      <c r="A66" s="21" t="s">
        <v>111</v>
      </c>
      <c r="B66" s="22" t="s">
        <v>112</v>
      </c>
      <c r="C66" s="35" t="s">
        <v>94</v>
      </c>
      <c r="D66" s="35" t="s">
        <v>94</v>
      </c>
      <c r="E66" s="35" t="s">
        <v>94</v>
      </c>
      <c r="F66" s="35" t="s">
        <v>94</v>
      </c>
      <c r="G66" s="35" t="s">
        <v>94</v>
      </c>
      <c r="H66" s="36" t="s">
        <v>94</v>
      </c>
      <c r="I66" s="36" t="s">
        <v>94</v>
      </c>
      <c r="J66" s="37" t="s">
        <v>94</v>
      </c>
      <c r="K66" s="42">
        <f>0.114</f>
        <v>0.114</v>
      </c>
      <c r="L66" s="43">
        <f>0.1024</f>
        <v>0.1024</v>
      </c>
      <c r="M66" s="43">
        <f>0.0951</f>
        <v>0.095100000000000004</v>
      </c>
      <c r="N66" s="43">
        <f>0.0892</f>
        <v>0.089200000000000002</v>
      </c>
      <c r="O66" s="43">
        <f>0.0722</f>
        <v>0.0722</v>
      </c>
      <c r="P66" s="43">
        <f>0.0573</f>
        <v>0.057299999999999997</v>
      </c>
      <c r="Q66" s="43">
        <f>0.0439</f>
        <v>0.043900000000000002</v>
      </c>
    </row>
    <row r="67">
      <c r="A67" s="21" t="s">
        <v>113</v>
      </c>
      <c r="B67" s="22" t="s">
        <v>114</v>
      </c>
      <c r="C67" s="35" t="s">
        <v>94</v>
      </c>
      <c r="D67" s="35" t="s">
        <v>94</v>
      </c>
      <c r="E67" s="35" t="s">
        <v>94</v>
      </c>
      <c r="F67" s="35" t="s">
        <v>94</v>
      </c>
      <c r="G67" s="35" t="s">
        <v>94</v>
      </c>
      <c r="H67" s="36" t="s">
        <v>94</v>
      </c>
      <c r="I67" s="36" t="s">
        <v>94</v>
      </c>
      <c r="J67" s="37" t="s">
        <v>94</v>
      </c>
      <c r="K67" s="48" t="str">
        <f>IF(K58&lt;=K65,"Spełniona","Nie spełniona")</f>
        <v>Spełniona</v>
      </c>
      <c r="L67" s="48" t="str">
        <f>IF(L58&lt;=L65,"Spełniona","Nie spełniona")</f>
        <v>Spełniona</v>
      </c>
      <c r="M67" s="48" t="str">
        <f>IF(M58&lt;=M65,"Spełniona","Nie spełniona")</f>
        <v>Spełniona</v>
      </c>
      <c r="N67" s="48" t="str">
        <f>IF(N58&lt;=N65,"Spełniona","Nie spełniona")</f>
        <v>Spełniona</v>
      </c>
      <c r="O67" s="48" t="str">
        <f>IF(O58&lt;=O65,"Spełniona","Nie spełniona")</f>
        <v>Spełniona</v>
      </c>
      <c r="P67" s="48" t="str">
        <f>IF(P58&lt;=P65,"Spełniona","Nie spełniona")</f>
        <v>Spełniona</v>
      </c>
      <c r="Q67" s="48" t="str">
        <f>IF(Q58&lt;=Q65,"Spełniona","Nie spełniona")</f>
        <v>Spełniona</v>
      </c>
    </row>
    <row r="68">
      <c r="A68" s="21" t="s">
        <v>115</v>
      </c>
      <c r="B68" s="22" t="s">
        <v>116</v>
      </c>
      <c r="C68" s="35" t="s">
        <v>94</v>
      </c>
      <c r="D68" s="35" t="s">
        <v>94</v>
      </c>
      <c r="E68" s="35" t="s">
        <v>94</v>
      </c>
      <c r="F68" s="35" t="s">
        <v>94</v>
      </c>
      <c r="G68" s="35" t="s">
        <v>94</v>
      </c>
      <c r="H68" s="36" t="s">
        <v>94</v>
      </c>
      <c r="I68" s="36" t="s">
        <v>94</v>
      </c>
      <c r="J68" s="37" t="s">
        <v>94</v>
      </c>
      <c r="K68" s="48" t="str">
        <f>IF(K58&lt;=K66,"Spełniona","Nie spełniona")</f>
        <v>Spełniona</v>
      </c>
      <c r="L68" s="48" t="str">
        <f>IF(L58&lt;=L66,"Spełniona","Nie spełniona")</f>
        <v>Spełniona</v>
      </c>
      <c r="M68" s="48" t="str">
        <f>IF(M58&lt;=M66,"Spełniona","Nie spełniona")</f>
        <v>Spełniona</v>
      </c>
      <c r="N68" s="48" t="str">
        <f>IF(N58&lt;=N66,"Spełniona","Nie spełniona")</f>
        <v>Spełniona</v>
      </c>
      <c r="O68" s="48" t="str">
        <f>IF(O58&lt;=O66,"Spełniona","Nie spełniona")</f>
        <v>Spełniona</v>
      </c>
      <c r="P68" s="48" t="str">
        <f>IF(P58&lt;=P66,"Spełniona","Nie spełniona")</f>
        <v>Spełniona</v>
      </c>
      <c r="Q68" s="48" t="str">
        <f>IF(Q58&lt;=Q66,"Spełniona","Nie spełniona")</f>
        <v>Spełniona</v>
      </c>
    </row>
    <row r="69">
      <c r="A69" s="21" t="s">
        <v>117</v>
      </c>
      <c r="B69" s="22" t="s">
        <v>118</v>
      </c>
      <c r="C69" s="35" t="s">
        <v>94</v>
      </c>
      <c r="D69" s="35" t="s">
        <v>94</v>
      </c>
      <c r="E69" s="35" t="s">
        <v>94</v>
      </c>
      <c r="F69" s="35" t="s">
        <v>94</v>
      </c>
      <c r="G69" s="35" t="s">
        <v>94</v>
      </c>
      <c r="H69" s="36" t="s">
        <v>94</v>
      </c>
      <c r="I69" s="36" t="s">
        <v>94</v>
      </c>
      <c r="J69" s="37" t="s">
        <v>94</v>
      </c>
      <c r="K69" s="42">
        <f>0</f>
        <v>0</v>
      </c>
      <c r="L69" s="43">
        <f>0</f>
        <v>0</v>
      </c>
      <c r="M69" s="43">
        <f>0</f>
        <v>0</v>
      </c>
      <c r="N69" s="43">
        <f>0</f>
        <v>0</v>
      </c>
      <c r="O69" s="43">
        <f>0</f>
        <v>0</v>
      </c>
      <c r="P69" s="43">
        <f>0</f>
        <v>0</v>
      </c>
      <c r="Q69" s="43">
        <f>0</f>
        <v>0</v>
      </c>
    </row>
    <row r="70">
      <c r="A70" s="21" t="s">
        <v>119</v>
      </c>
      <c r="B70" s="22" t="s">
        <v>120</v>
      </c>
      <c r="C70" s="35" t="s">
        <v>94</v>
      </c>
      <c r="D70" s="35" t="s">
        <v>94</v>
      </c>
      <c r="E70" s="35" t="s">
        <v>94</v>
      </c>
      <c r="F70" s="35" t="s">
        <v>94</v>
      </c>
      <c r="G70" s="35" t="s">
        <v>94</v>
      </c>
      <c r="H70" s="36" t="s">
        <v>94</v>
      </c>
      <c r="I70" s="36" t="s">
        <v>94</v>
      </c>
      <c r="J70" s="37" t="s">
        <v>94</v>
      </c>
      <c r="K70" s="42">
        <f>0</f>
        <v>0</v>
      </c>
      <c r="L70" s="43">
        <f>0</f>
        <v>0</v>
      </c>
      <c r="M70" s="43">
        <f>0</f>
        <v>0</v>
      </c>
      <c r="N70" s="43">
        <f>0</f>
        <v>0</v>
      </c>
      <c r="O70" s="43">
        <f>0</f>
        <v>0</v>
      </c>
      <c r="P70" s="43">
        <f>0</f>
        <v>0</v>
      </c>
      <c r="Q70" s="43">
        <f>0</f>
        <v>0</v>
      </c>
    </row>
    <row r="71">
      <c r="A71" s="21" t="s">
        <v>121</v>
      </c>
      <c r="B71" s="22" t="s">
        <v>122</v>
      </c>
      <c r="C71" s="35" t="s">
        <v>94</v>
      </c>
      <c r="D71" s="35" t="s">
        <v>94</v>
      </c>
      <c r="E71" s="35" t="s">
        <v>94</v>
      </c>
      <c r="F71" s="35" t="s">
        <v>94</v>
      </c>
      <c r="G71" s="35" t="s">
        <v>94</v>
      </c>
      <c r="H71" s="36" t="s">
        <v>94</v>
      </c>
      <c r="I71" s="36" t="s">
        <v>94</v>
      </c>
      <c r="J71" s="37" t="s">
        <v>94</v>
      </c>
      <c r="K71" s="49" t="str">
        <f>IF(K$75&lt;=K$70,"Spełniona","Nie spełniona")</f>
        <v>Spełniona</v>
      </c>
      <c r="L71" s="48" t="str">
        <f>IF(L$75&lt;=L$70,"Spełniona","Nie spełniona")</f>
        <v>Spełniona</v>
      </c>
      <c r="M71" s="48" t="str">
        <f>IF(M$75&lt;=M$70,"Spełniona","Nie spełniona")</f>
        <v>Spełniona</v>
      </c>
      <c r="N71" s="48" t="str">
        <f>IF(N$75&lt;=N$70,"Spełniona","Nie spełniona")</f>
        <v>Spełniona</v>
      </c>
      <c r="O71" s="48" t="str">
        <f>IF(O$75&lt;=O$70,"Spełniona","Nie spełniona")</f>
        <v>Spełniona</v>
      </c>
      <c r="P71" s="48" t="str">
        <f>IF(P$75&lt;=P$70,"Spełniona","Nie spełniona")</f>
        <v>Spełniona</v>
      </c>
      <c r="Q71" s="48" t="str">
        <f>IF(Q$75&lt;=Q$70,"Spełniona","Nie spełniona")</f>
        <v>Spełniona</v>
      </c>
    </row>
    <row r="72">
      <c r="A72" s="21" t="s">
        <v>123</v>
      </c>
      <c r="B72" s="22" t="s">
        <v>122</v>
      </c>
      <c r="C72" s="35" t="s">
        <v>94</v>
      </c>
      <c r="D72" s="35" t="s">
        <v>94</v>
      </c>
      <c r="E72" s="35" t="s">
        <v>94</v>
      </c>
      <c r="F72" s="35" t="s">
        <v>94</v>
      </c>
      <c r="G72" s="35" t="s">
        <v>94</v>
      </c>
      <c r="H72" s="36" t="s">
        <v>94</v>
      </c>
      <c r="I72" s="36" t="s">
        <v>94</v>
      </c>
      <c r="J72" s="37" t="s">
        <v>94</v>
      </c>
      <c r="K72" s="49" t="str">
        <f>IF(K$75&lt;=K$71,"Spełniona","Nie spełniona")</f>
        <v>Spełniona</v>
      </c>
      <c r="L72" s="48" t="str">
        <f>IF(L$75&lt;=L$71,"Spełniona","Nie spełniona")</f>
        <v>Spełniona</v>
      </c>
      <c r="M72" s="48" t="str">
        <f>IF(M$75&lt;=M$71,"Spełniona","Nie spełniona")</f>
        <v>Spełniona</v>
      </c>
      <c r="N72" s="48" t="str">
        <f>IF(N$75&lt;=N$71,"Spełniona","Nie spełniona")</f>
        <v>Spełniona</v>
      </c>
      <c r="O72" s="48" t="str">
        <f>IF(O$75&lt;=O$71,"Spełniona","Nie spełniona")</f>
        <v>Spełniona</v>
      </c>
      <c r="P72" s="48" t="str">
        <f>IF(P$75&lt;=P$71,"Spełniona","Nie spełniona")</f>
        <v>Spełniona</v>
      </c>
      <c r="Q72" s="48" t="str">
        <f>IF(Q$75&lt;=Q$71,"Spełniona","Nie spełniona")</f>
        <v>Spełniona</v>
      </c>
    </row>
    <row r="73">
      <c r="A73" s="21" t="s">
        <v>124</v>
      </c>
      <c r="B73" s="22" t="s">
        <v>125</v>
      </c>
      <c r="C73" s="35" t="s">
        <v>94</v>
      </c>
      <c r="D73" s="35" t="s">
        <v>94</v>
      </c>
      <c r="E73" s="35" t="s">
        <v>94</v>
      </c>
      <c r="F73" s="35" t="s">
        <v>94</v>
      </c>
      <c r="G73" s="35" t="s">
        <v>94</v>
      </c>
      <c r="H73" s="36" t="s">
        <v>94</v>
      </c>
      <c r="I73" s="36" t="s">
        <v>94</v>
      </c>
      <c r="J73" s="37" t="s">
        <v>94</v>
      </c>
      <c r="K73" s="42">
        <f>0.1352</f>
        <v>0.13519999999999999</v>
      </c>
      <c r="L73" s="43">
        <f>0.1314</f>
        <v>0.13139999999999999</v>
      </c>
      <c r="M73" s="43">
        <f>0</f>
        <v>0</v>
      </c>
      <c r="N73" s="43">
        <f>0</f>
        <v>0</v>
      </c>
      <c r="O73" s="43">
        <f>0</f>
        <v>0</v>
      </c>
      <c r="P73" s="43">
        <f>0</f>
        <v>0</v>
      </c>
      <c r="Q73" s="43">
        <f>0</f>
        <v>0</v>
      </c>
    </row>
    <row r="74">
      <c r="A74" s="28">
        <v>9</v>
      </c>
      <c r="B74" s="29" t="s">
        <v>126</v>
      </c>
      <c r="C74" s="35" t="s">
        <v>94</v>
      </c>
      <c r="D74" s="35" t="s">
        <v>94</v>
      </c>
      <c r="E74" s="35" t="s">
        <v>94</v>
      </c>
      <c r="F74" s="35" t="s">
        <v>94</v>
      </c>
      <c r="G74" s="35" t="s">
        <v>94</v>
      </c>
      <c r="H74" s="36" t="s">
        <v>94</v>
      </c>
      <c r="I74" s="36" t="s">
        <v>94</v>
      </c>
      <c r="J74" s="37" t="s">
        <v>94</v>
      </c>
      <c r="K74" s="38" t="s">
        <v>94</v>
      </c>
      <c r="L74" s="39" t="s">
        <v>94</v>
      </c>
      <c r="M74" s="39" t="s">
        <v>94</v>
      </c>
      <c r="N74" s="39" t="s">
        <v>94</v>
      </c>
      <c r="O74" s="39" t="s">
        <v>94</v>
      </c>
      <c r="P74" s="39" t="s">
        <v>94</v>
      </c>
      <c r="Q74" s="39" t="s">
        <v>94</v>
      </c>
    </row>
    <row r="75">
      <c r="A75" s="21" t="s">
        <v>127</v>
      </c>
      <c r="B75" s="22" t="s">
        <v>128</v>
      </c>
      <c r="C75" s="23">
        <f>38111.95</f>
        <v>38111.949999999997</v>
      </c>
      <c r="D75" s="23">
        <f>0</f>
        <v>0</v>
      </c>
      <c r="E75" s="23">
        <f>0</f>
        <v>0</v>
      </c>
      <c r="F75" s="23">
        <f>231562</f>
        <v>231562</v>
      </c>
      <c r="G75" s="23">
        <f>124921</f>
        <v>124921</v>
      </c>
      <c r="H75" s="24">
        <f>604480.47</f>
        <v>604480.46999999997</v>
      </c>
      <c r="I75" s="24">
        <f>68935.48</f>
        <v>68935.479999999996</v>
      </c>
      <c r="J75" s="25">
        <f>68935.48</f>
        <v>68935.479999999996</v>
      </c>
      <c r="K75" s="26">
        <f>0</f>
        <v>0</v>
      </c>
      <c r="L75" s="27">
        <f>0</f>
        <v>0</v>
      </c>
      <c r="M75" s="27">
        <f>0</f>
        <v>0</v>
      </c>
      <c r="N75" s="27">
        <f>0</f>
        <v>0</v>
      </c>
      <c r="O75" s="27">
        <f>0</f>
        <v>0</v>
      </c>
      <c r="P75" s="27">
        <f>0</f>
        <v>0</v>
      </c>
      <c r="Q75" s="27">
        <f>0</f>
        <v>0</v>
      </c>
    </row>
    <row r="76">
      <c r="A76" s="21" t="s">
        <v>129</v>
      </c>
      <c r="B76" s="22" t="s">
        <v>130</v>
      </c>
      <c r="C76" s="23">
        <f>38111.95</f>
        <v>38111.949999999997</v>
      </c>
      <c r="D76" s="23">
        <f>0</f>
        <v>0</v>
      </c>
      <c r="E76" s="23">
        <f>0</f>
        <v>0</v>
      </c>
      <c r="F76" s="23">
        <f>231562</f>
        <v>231562</v>
      </c>
      <c r="G76" s="23">
        <f>124921</f>
        <v>124921</v>
      </c>
      <c r="H76" s="24">
        <f>604480.47</f>
        <v>604480.46999999997</v>
      </c>
      <c r="I76" s="24">
        <f>68935.48</f>
        <v>68935.479999999996</v>
      </c>
      <c r="J76" s="25">
        <f>68935.48</f>
        <v>68935.479999999996</v>
      </c>
      <c r="K76" s="26">
        <f>0</f>
        <v>0</v>
      </c>
      <c r="L76" s="27">
        <f>0</f>
        <v>0</v>
      </c>
      <c r="M76" s="27">
        <f>0</f>
        <v>0</v>
      </c>
      <c r="N76" s="27">
        <f>0</f>
        <v>0</v>
      </c>
      <c r="O76" s="27">
        <f>0</f>
        <v>0</v>
      </c>
      <c r="P76" s="27">
        <f>0</f>
        <v>0</v>
      </c>
      <c r="Q76" s="27">
        <f>0</f>
        <v>0</v>
      </c>
    </row>
    <row r="77">
      <c r="A77" s="21" t="s">
        <v>131</v>
      </c>
      <c r="B77" s="22" t="s">
        <v>132</v>
      </c>
      <c r="C77" s="23">
        <f>32425</f>
        <v>32425</v>
      </c>
      <c r="D77" s="23">
        <f>0</f>
        <v>0</v>
      </c>
      <c r="E77" s="23">
        <f>0</f>
        <v>0</v>
      </c>
      <c r="F77" s="23">
        <f>230946.21</f>
        <v>230946.20999999999</v>
      </c>
      <c r="G77" s="23">
        <f>124921</f>
        <v>124921</v>
      </c>
      <c r="H77" s="24">
        <f>604480.47</f>
        <v>604480.46999999997</v>
      </c>
      <c r="I77" s="24">
        <f>68935.48</f>
        <v>68935.479999999996</v>
      </c>
      <c r="J77" s="25">
        <f>68935.48</f>
        <v>68935.479999999996</v>
      </c>
      <c r="K77" s="26">
        <f>0</f>
        <v>0</v>
      </c>
      <c r="L77" s="27">
        <f>0</f>
        <v>0</v>
      </c>
      <c r="M77" s="27">
        <f>0</f>
        <v>0</v>
      </c>
      <c r="N77" s="27">
        <f>0</f>
        <v>0</v>
      </c>
      <c r="O77" s="27">
        <f>0</f>
        <v>0</v>
      </c>
      <c r="P77" s="27">
        <f>0</f>
        <v>0</v>
      </c>
      <c r="Q77" s="27">
        <f>0</f>
        <v>0</v>
      </c>
    </row>
    <row r="78">
      <c r="A78" s="21" t="s">
        <v>133</v>
      </c>
      <c r="B78" s="22" t="s">
        <v>134</v>
      </c>
      <c r="C78" s="23">
        <f>648496.12</f>
        <v>648496.12</v>
      </c>
      <c r="D78" s="23">
        <f>792335.52</f>
        <v>792335.52000000002</v>
      </c>
      <c r="E78" s="23">
        <f>20773.02</f>
        <v>20773.02</v>
      </c>
      <c r="F78" s="23">
        <f>322439.74</f>
        <v>322439.73999999999</v>
      </c>
      <c r="G78" s="23">
        <f>1020176.99</f>
        <v>1020176.99</v>
      </c>
      <c r="H78" s="24">
        <f>229108.77</f>
        <v>229108.76999999999</v>
      </c>
      <c r="I78" s="24">
        <f>694062.12</f>
        <v>694062.12</v>
      </c>
      <c r="J78" s="25">
        <f>694062.12</f>
        <v>694062.12</v>
      </c>
      <c r="K78" s="26">
        <f>642152</f>
        <v>642152</v>
      </c>
      <c r="L78" s="27">
        <f>0</f>
        <v>0</v>
      </c>
      <c r="M78" s="27">
        <f>0</f>
        <v>0</v>
      </c>
      <c r="N78" s="27">
        <f>0</f>
        <v>0</v>
      </c>
      <c r="O78" s="27">
        <f>0</f>
        <v>0</v>
      </c>
      <c r="P78" s="27">
        <f>0</f>
        <v>0</v>
      </c>
      <c r="Q78" s="27">
        <f>0</f>
        <v>0</v>
      </c>
    </row>
    <row r="79">
      <c r="A79" s="21" t="s">
        <v>135</v>
      </c>
      <c r="B79" s="22" t="s">
        <v>136</v>
      </c>
      <c r="C79" s="23">
        <f>648496.12</f>
        <v>648496.12</v>
      </c>
      <c r="D79" s="23">
        <f>792335.52</f>
        <v>792335.52000000002</v>
      </c>
      <c r="E79" s="23">
        <f>20773.02</f>
        <v>20773.02</v>
      </c>
      <c r="F79" s="23">
        <f>322439.74</f>
        <v>322439.73999999999</v>
      </c>
      <c r="G79" s="23">
        <f>1020176.99</f>
        <v>1020176.99</v>
      </c>
      <c r="H79" s="24">
        <f>229108.77</f>
        <v>229108.76999999999</v>
      </c>
      <c r="I79" s="24">
        <f>694062.12</f>
        <v>694062.12</v>
      </c>
      <c r="J79" s="25">
        <f>694062.12</f>
        <v>694062.12</v>
      </c>
      <c r="K79" s="26">
        <f>642152</f>
        <v>642152</v>
      </c>
      <c r="L79" s="27">
        <f>0</f>
        <v>0</v>
      </c>
      <c r="M79" s="27">
        <f>0</f>
        <v>0</v>
      </c>
      <c r="N79" s="27">
        <f>0</f>
        <v>0</v>
      </c>
      <c r="O79" s="27">
        <f>0</f>
        <v>0</v>
      </c>
      <c r="P79" s="27">
        <f>0</f>
        <v>0</v>
      </c>
      <c r="Q79" s="27">
        <f>0</f>
        <v>0</v>
      </c>
    </row>
    <row r="80">
      <c r="A80" s="21" t="s">
        <v>137</v>
      </c>
      <c r="B80" s="22" t="s">
        <v>132</v>
      </c>
      <c r="C80" s="23">
        <f>648496.12</f>
        <v>648496.12</v>
      </c>
      <c r="D80" s="23">
        <f>792335.52</f>
        <v>792335.52000000002</v>
      </c>
      <c r="E80" s="23">
        <f>20773.02</f>
        <v>20773.02</v>
      </c>
      <c r="F80" s="23">
        <f>322439.74</f>
        <v>322439.73999999999</v>
      </c>
      <c r="G80" s="23">
        <f>1020176.99</f>
        <v>1020176.99</v>
      </c>
      <c r="H80" s="24">
        <f>229108.77</f>
        <v>229108.76999999999</v>
      </c>
      <c r="I80" s="24">
        <f>694062.12</f>
        <v>694062.12</v>
      </c>
      <c r="J80" s="25">
        <f>694062.12</f>
        <v>694062.12</v>
      </c>
      <c r="K80" s="26">
        <f>642152</f>
        <v>642152</v>
      </c>
      <c r="L80" s="27">
        <f>0</f>
        <v>0</v>
      </c>
      <c r="M80" s="27">
        <f>0</f>
        <v>0</v>
      </c>
      <c r="N80" s="27">
        <f>0</f>
        <v>0</v>
      </c>
      <c r="O80" s="27">
        <f>0</f>
        <v>0</v>
      </c>
      <c r="P80" s="27">
        <f>0</f>
        <v>0</v>
      </c>
      <c r="Q80" s="27">
        <f>0</f>
        <v>0</v>
      </c>
    </row>
    <row r="81">
      <c r="A81" s="21" t="s">
        <v>138</v>
      </c>
      <c r="B81" s="22" t="s">
        <v>139</v>
      </c>
      <c r="C81" s="23">
        <f>0</f>
        <v>0</v>
      </c>
      <c r="D81" s="23">
        <f>0</f>
        <v>0</v>
      </c>
      <c r="E81" s="23">
        <f>22570.18</f>
        <v>22570.18</v>
      </c>
      <c r="F81" s="23">
        <f>282498.2</f>
        <v>282498.20000000001</v>
      </c>
      <c r="G81" s="23">
        <f>57735.49</f>
        <v>57735.489999999998</v>
      </c>
      <c r="H81" s="24">
        <f>690728.94</f>
        <v>690728.93999999994</v>
      </c>
      <c r="I81" s="24">
        <f>180716.48</f>
        <v>180716.48000000001</v>
      </c>
      <c r="J81" s="25">
        <f>180716.48</f>
        <v>180716.48000000001</v>
      </c>
      <c r="K81" s="26">
        <f>0</f>
        <v>0</v>
      </c>
      <c r="L81" s="27">
        <f>0</f>
        <v>0</v>
      </c>
      <c r="M81" s="27">
        <f>0</f>
        <v>0</v>
      </c>
      <c r="N81" s="27">
        <f>0</f>
        <v>0</v>
      </c>
      <c r="O81" s="27">
        <f>0</f>
        <v>0</v>
      </c>
      <c r="P81" s="27">
        <f>0</f>
        <v>0</v>
      </c>
      <c r="Q81" s="27">
        <f>0</f>
        <v>0</v>
      </c>
    </row>
    <row r="82">
      <c r="A82" s="21" t="s">
        <v>140</v>
      </c>
      <c r="B82" s="22" t="s">
        <v>141</v>
      </c>
      <c r="C82" s="23">
        <f>0</f>
        <v>0</v>
      </c>
      <c r="D82" s="23">
        <f>0</f>
        <v>0</v>
      </c>
      <c r="E82" s="23">
        <f>22570.18</f>
        <v>22570.18</v>
      </c>
      <c r="F82" s="23">
        <f>282498.2</f>
        <v>282498.20000000001</v>
      </c>
      <c r="G82" s="23">
        <f>57735.49</f>
        <v>57735.489999999998</v>
      </c>
      <c r="H82" s="24">
        <f>690728.94</f>
        <v>690728.93999999994</v>
      </c>
      <c r="I82" s="24">
        <f>180716.48</f>
        <v>180716.48000000001</v>
      </c>
      <c r="J82" s="25">
        <f>180716.48</f>
        <v>180716.48000000001</v>
      </c>
      <c r="K82" s="26">
        <f>0</f>
        <v>0</v>
      </c>
      <c r="L82" s="27">
        <f>0</f>
        <v>0</v>
      </c>
      <c r="M82" s="27">
        <f>0</f>
        <v>0</v>
      </c>
      <c r="N82" s="27">
        <f>0</f>
        <v>0</v>
      </c>
      <c r="O82" s="27">
        <f>0</f>
        <v>0</v>
      </c>
      <c r="P82" s="27">
        <f>0</f>
        <v>0</v>
      </c>
      <c r="Q82" s="27">
        <f>0</f>
        <v>0</v>
      </c>
    </row>
    <row r="83">
      <c r="A83" s="21" t="s">
        <v>142</v>
      </c>
      <c r="B83" s="22" t="s">
        <v>143</v>
      </c>
      <c r="C83" s="23">
        <f>0</f>
        <v>0</v>
      </c>
      <c r="D83" s="23">
        <f>0</f>
        <v>0</v>
      </c>
      <c r="E83" s="23">
        <f>22210.74</f>
        <v>22210.740000000002</v>
      </c>
      <c r="F83" s="23">
        <f>277323.36</f>
        <v>277323.35999999999</v>
      </c>
      <c r="G83" s="23">
        <f>57398.37</f>
        <v>57398.370000000003</v>
      </c>
      <c r="H83" s="24">
        <f>660315.72</f>
        <v>660315.71999999997</v>
      </c>
      <c r="I83" s="24">
        <f>157468.14</f>
        <v>157468.14000000001</v>
      </c>
      <c r="J83" s="25">
        <f>157468.14</f>
        <v>157468.14000000001</v>
      </c>
      <c r="K83" s="26">
        <f>0</f>
        <v>0</v>
      </c>
      <c r="L83" s="27">
        <f>0</f>
        <v>0</v>
      </c>
      <c r="M83" s="27">
        <f>0</f>
        <v>0</v>
      </c>
      <c r="N83" s="27">
        <f>0</f>
        <v>0</v>
      </c>
      <c r="O83" s="27">
        <f>0</f>
        <v>0</v>
      </c>
      <c r="P83" s="27">
        <f>0</f>
        <v>0</v>
      </c>
      <c r="Q83" s="27">
        <f>0</f>
        <v>0</v>
      </c>
    </row>
    <row r="84">
      <c r="A84" s="21" t="s">
        <v>144</v>
      </c>
      <c r="B84" s="22" t="s">
        <v>145</v>
      </c>
      <c r="C84" s="23">
        <f>2196062.45</f>
        <v>2196062.4500000002</v>
      </c>
      <c r="D84" s="23">
        <f>1355150.45</f>
        <v>1355150.45</v>
      </c>
      <c r="E84" s="23">
        <f>24438.87</f>
        <v>24438.869999999999</v>
      </c>
      <c r="F84" s="23">
        <f>705897.18</f>
        <v>705897.18000000005</v>
      </c>
      <c r="G84" s="23">
        <f>1986710.34</f>
        <v>1986710.3400000001</v>
      </c>
      <c r="H84" s="24">
        <f>4541.38</f>
        <v>4541.3800000000001</v>
      </c>
      <c r="I84" s="24">
        <f>1064306.74</f>
        <v>1064306.74</v>
      </c>
      <c r="J84" s="25">
        <f>1064306.74</f>
        <v>1064306.74</v>
      </c>
      <c r="K84" s="26">
        <f>0</f>
        <v>0</v>
      </c>
      <c r="L84" s="27">
        <f>0</f>
        <v>0</v>
      </c>
      <c r="M84" s="27">
        <f>0</f>
        <v>0</v>
      </c>
      <c r="N84" s="27">
        <f>0</f>
        <v>0</v>
      </c>
      <c r="O84" s="27">
        <f>0</f>
        <v>0</v>
      </c>
      <c r="P84" s="27">
        <f>0</f>
        <v>0</v>
      </c>
      <c r="Q84" s="27">
        <f>0</f>
        <v>0</v>
      </c>
    </row>
    <row r="85">
      <c r="A85" s="21" t="s">
        <v>146</v>
      </c>
      <c r="B85" s="22" t="s">
        <v>147</v>
      </c>
      <c r="C85" s="23">
        <f>2196062.45</f>
        <v>2196062.4500000002</v>
      </c>
      <c r="D85" s="23">
        <f>1355150.45</f>
        <v>1355150.45</v>
      </c>
      <c r="E85" s="23">
        <f>24438.87</f>
        <v>24438.869999999999</v>
      </c>
      <c r="F85" s="23">
        <f>705897.18</f>
        <v>705897.18000000005</v>
      </c>
      <c r="G85" s="23">
        <f>1986710.34</f>
        <v>1986710.3400000001</v>
      </c>
      <c r="H85" s="24">
        <f>4541.38</f>
        <v>4541.3800000000001</v>
      </c>
      <c r="I85" s="24">
        <f>1064306.74</f>
        <v>1064306.74</v>
      </c>
      <c r="J85" s="25">
        <f>1064306.74</f>
        <v>1064306.74</v>
      </c>
      <c r="K85" s="26">
        <f>0</f>
        <v>0</v>
      </c>
      <c r="L85" s="27">
        <f>0</f>
        <v>0</v>
      </c>
      <c r="M85" s="27">
        <f>0</f>
        <v>0</v>
      </c>
      <c r="N85" s="27">
        <f>0</f>
        <v>0</v>
      </c>
      <c r="O85" s="27">
        <f>0</f>
        <v>0</v>
      </c>
      <c r="P85" s="27">
        <f>0</f>
        <v>0</v>
      </c>
      <c r="Q85" s="27">
        <f>0</f>
        <v>0</v>
      </c>
    </row>
    <row r="86">
      <c r="A86" s="21" t="s">
        <v>148</v>
      </c>
      <c r="B86" s="22" t="s">
        <v>143</v>
      </c>
      <c r="C86" s="23">
        <f>1499258.18</f>
        <v>1499258.1799999999</v>
      </c>
      <c r="D86" s="23">
        <f>923007.31</f>
        <v>923007.31000000006</v>
      </c>
      <c r="E86" s="23">
        <f>24438.87</f>
        <v>24438.869999999999</v>
      </c>
      <c r="F86" s="23">
        <f>326277.12</f>
        <v>326277.12</v>
      </c>
      <c r="G86" s="23">
        <f>1283956.78</f>
        <v>1283956.78</v>
      </c>
      <c r="H86" s="24">
        <f>3860.17</f>
        <v>3860.1700000000001</v>
      </c>
      <c r="I86" s="24">
        <f>694062.12</f>
        <v>694062.12</v>
      </c>
      <c r="J86" s="25">
        <f>694062.12</f>
        <v>694062.12</v>
      </c>
      <c r="K86" s="26">
        <f>0</f>
        <v>0</v>
      </c>
      <c r="L86" s="27">
        <f>0</f>
        <v>0</v>
      </c>
      <c r="M86" s="27">
        <f>0</f>
        <v>0</v>
      </c>
      <c r="N86" s="27">
        <f>0</f>
        <v>0</v>
      </c>
      <c r="O86" s="27">
        <f>0</f>
        <v>0</v>
      </c>
      <c r="P86" s="27">
        <f>0</f>
        <v>0</v>
      </c>
      <c r="Q86" s="27">
        <f>0</f>
        <v>0</v>
      </c>
    </row>
    <row r="87">
      <c r="A87" s="28">
        <v>10</v>
      </c>
      <c r="B87" s="29" t="s">
        <v>149</v>
      </c>
      <c r="C87" s="35" t="s">
        <v>94</v>
      </c>
      <c r="D87" s="35" t="s">
        <v>94</v>
      </c>
      <c r="E87" s="35" t="s">
        <v>94</v>
      </c>
      <c r="F87" s="35" t="s">
        <v>94</v>
      </c>
      <c r="G87" s="35" t="s">
        <v>94</v>
      </c>
      <c r="H87" s="36" t="s">
        <v>94</v>
      </c>
      <c r="I87" s="36" t="s">
        <v>94</v>
      </c>
      <c r="J87" s="37" t="s">
        <v>94</v>
      </c>
      <c r="K87" s="38" t="s">
        <v>94</v>
      </c>
      <c r="L87" s="39" t="s">
        <v>94</v>
      </c>
      <c r="M87" s="39" t="s">
        <v>94</v>
      </c>
      <c r="N87" s="39" t="s">
        <v>94</v>
      </c>
      <c r="O87" s="39" t="s">
        <v>94</v>
      </c>
      <c r="P87" s="39" t="s">
        <v>94</v>
      </c>
      <c r="Q87" s="39" t="s">
        <v>94</v>
      </c>
    </row>
    <row r="88">
      <c r="A88" s="21" t="s">
        <v>150</v>
      </c>
      <c r="B88" s="22" t="s">
        <v>151</v>
      </c>
      <c r="C88" s="23">
        <f>2664564</f>
        <v>2664564</v>
      </c>
      <c r="D88" s="23">
        <f>2956563</f>
        <v>2956563</v>
      </c>
      <c r="E88" s="23">
        <f>38148</f>
        <v>38148</v>
      </c>
      <c r="F88" s="23">
        <f>0</f>
        <v>0</v>
      </c>
      <c r="G88" s="23">
        <f>0</f>
        <v>0</v>
      </c>
      <c r="H88" s="24">
        <f>0</f>
        <v>0</v>
      </c>
      <c r="I88" s="24">
        <f>0</f>
        <v>0</v>
      </c>
      <c r="J88" s="25">
        <f>0</f>
        <v>0</v>
      </c>
      <c r="K88" s="26">
        <f>1122136.75</f>
        <v>1122136.75</v>
      </c>
      <c r="L88" s="27">
        <f>0</f>
        <v>0</v>
      </c>
      <c r="M88" s="27">
        <f>0</f>
        <v>0</v>
      </c>
      <c r="N88" s="27">
        <f>0</f>
        <v>0</v>
      </c>
      <c r="O88" s="27">
        <f>0</f>
        <v>0</v>
      </c>
      <c r="P88" s="27">
        <f>0</f>
        <v>0</v>
      </c>
      <c r="Q88" s="27">
        <f>0</f>
        <v>0</v>
      </c>
    </row>
    <row r="89">
      <c r="A89" s="21" t="s">
        <v>152</v>
      </c>
      <c r="B89" s="22" t="s">
        <v>153</v>
      </c>
      <c r="C89" s="23">
        <f>5401</f>
        <v>5401</v>
      </c>
      <c r="D89" s="23">
        <f>5621</f>
        <v>5621</v>
      </c>
      <c r="E89" s="23">
        <f>0</f>
        <v>0</v>
      </c>
      <c r="F89" s="23">
        <f>0</f>
        <v>0</v>
      </c>
      <c r="G89" s="23">
        <f>0</f>
        <v>0</v>
      </c>
      <c r="H89" s="24">
        <f>0</f>
        <v>0</v>
      </c>
      <c r="I89" s="24">
        <f>0</f>
        <v>0</v>
      </c>
      <c r="J89" s="25">
        <f>0</f>
        <v>0</v>
      </c>
      <c r="K89" s="26">
        <f>0</f>
        <v>0</v>
      </c>
      <c r="L89" s="27">
        <f>0</f>
        <v>0</v>
      </c>
      <c r="M89" s="27">
        <f>0</f>
        <v>0</v>
      </c>
      <c r="N89" s="27">
        <f>0</f>
        <v>0</v>
      </c>
      <c r="O89" s="27">
        <f>0</f>
        <v>0</v>
      </c>
      <c r="P89" s="27">
        <f>0</f>
        <v>0</v>
      </c>
      <c r="Q89" s="27">
        <f>0</f>
        <v>0</v>
      </c>
    </row>
    <row r="90">
      <c r="A90" s="21" t="s">
        <v>154</v>
      </c>
      <c r="B90" s="22" t="s">
        <v>155</v>
      </c>
      <c r="C90" s="23">
        <f>2659163</f>
        <v>2659163</v>
      </c>
      <c r="D90" s="23">
        <f>2950942</f>
        <v>2950942</v>
      </c>
      <c r="E90" s="23">
        <f>38148</f>
        <v>38148</v>
      </c>
      <c r="F90" s="23">
        <f>0</f>
        <v>0</v>
      </c>
      <c r="G90" s="23">
        <f>0</f>
        <v>0</v>
      </c>
      <c r="H90" s="24">
        <f>0</f>
        <v>0</v>
      </c>
      <c r="I90" s="24">
        <f>0</f>
        <v>0</v>
      </c>
      <c r="J90" s="25">
        <f>0</f>
        <v>0</v>
      </c>
      <c r="K90" s="26">
        <f>1122136.75</f>
        <v>1122136.75</v>
      </c>
      <c r="L90" s="27">
        <f>0</f>
        <v>0</v>
      </c>
      <c r="M90" s="27">
        <f>0</f>
        <v>0</v>
      </c>
      <c r="N90" s="27">
        <f>0</f>
        <v>0</v>
      </c>
      <c r="O90" s="27">
        <f>0</f>
        <v>0</v>
      </c>
      <c r="P90" s="27">
        <f>0</f>
        <v>0</v>
      </c>
      <c r="Q90" s="27">
        <f>0</f>
        <v>0</v>
      </c>
    </row>
    <row r="91">
      <c r="A91" s="21" t="s">
        <v>156</v>
      </c>
      <c r="B91" s="22" t="s">
        <v>157</v>
      </c>
      <c r="C91" s="23">
        <f>0</f>
        <v>0</v>
      </c>
      <c r="D91" s="23">
        <f>0</f>
        <v>0</v>
      </c>
      <c r="E91" s="23">
        <f>0</f>
        <v>0</v>
      </c>
      <c r="F91" s="23">
        <f>0</f>
        <v>0</v>
      </c>
      <c r="G91" s="23">
        <f>0</f>
        <v>0</v>
      </c>
      <c r="H91" s="24">
        <f>0</f>
        <v>0</v>
      </c>
      <c r="I91" s="24">
        <f>0</f>
        <v>0</v>
      </c>
      <c r="J91" s="25">
        <f>0</f>
        <v>0</v>
      </c>
      <c r="K91" s="26">
        <f>0</f>
        <v>0</v>
      </c>
      <c r="L91" s="27">
        <f>0</f>
        <v>0</v>
      </c>
      <c r="M91" s="27">
        <f>0</f>
        <v>0</v>
      </c>
      <c r="N91" s="27">
        <f>0</f>
        <v>0</v>
      </c>
      <c r="O91" s="27">
        <f>0</f>
        <v>0</v>
      </c>
      <c r="P91" s="27">
        <f>0</f>
        <v>0</v>
      </c>
      <c r="Q91" s="27">
        <f>0</f>
        <v>0</v>
      </c>
    </row>
    <row r="92">
      <c r="A92" s="21" t="s">
        <v>158</v>
      </c>
      <c r="B92" s="22" t="s">
        <v>159</v>
      </c>
      <c r="C92" s="23">
        <f>0</f>
        <v>0</v>
      </c>
      <c r="D92" s="23">
        <f>0</f>
        <v>0</v>
      </c>
      <c r="E92" s="23">
        <f>0</f>
        <v>0</v>
      </c>
      <c r="F92" s="23">
        <f>0</f>
        <v>0</v>
      </c>
      <c r="G92" s="23">
        <f>0</f>
        <v>0</v>
      </c>
      <c r="H92" s="24">
        <f>0</f>
        <v>0</v>
      </c>
      <c r="I92" s="24">
        <f>0</f>
        <v>0</v>
      </c>
      <c r="J92" s="25">
        <f>0</f>
        <v>0</v>
      </c>
      <c r="K92" s="26">
        <f>0</f>
        <v>0</v>
      </c>
      <c r="L92" s="27">
        <f>0</f>
        <v>0</v>
      </c>
      <c r="M92" s="27">
        <f>0</f>
        <v>0</v>
      </c>
      <c r="N92" s="27">
        <f>0</f>
        <v>0</v>
      </c>
      <c r="O92" s="27">
        <f>0</f>
        <v>0</v>
      </c>
      <c r="P92" s="27">
        <f>0</f>
        <v>0</v>
      </c>
      <c r="Q92" s="27">
        <f>0</f>
        <v>0</v>
      </c>
    </row>
    <row r="93">
      <c r="A93" s="21" t="s">
        <v>160</v>
      </c>
      <c r="B93" s="22" t="s">
        <v>161</v>
      </c>
      <c r="C93" s="23">
        <f>0</f>
        <v>0</v>
      </c>
      <c r="D93" s="23">
        <f>0</f>
        <v>0</v>
      </c>
      <c r="E93" s="23">
        <f>0</f>
        <v>0</v>
      </c>
      <c r="F93" s="23">
        <f>0</f>
        <v>0</v>
      </c>
      <c r="G93" s="23">
        <f>0</f>
        <v>0</v>
      </c>
      <c r="H93" s="24">
        <f>0</f>
        <v>0</v>
      </c>
      <c r="I93" s="24">
        <f>0</f>
        <v>0</v>
      </c>
      <c r="J93" s="25">
        <f>0</f>
        <v>0</v>
      </c>
      <c r="K93" s="26">
        <f>0</f>
        <v>0</v>
      </c>
      <c r="L93" s="27">
        <f>0</f>
        <v>0</v>
      </c>
      <c r="M93" s="27">
        <f>0</f>
        <v>0</v>
      </c>
      <c r="N93" s="27">
        <f>0</f>
        <v>0</v>
      </c>
      <c r="O93" s="27">
        <f>0</f>
        <v>0</v>
      </c>
      <c r="P93" s="27">
        <f>0</f>
        <v>0</v>
      </c>
      <c r="Q93" s="27">
        <f>0</f>
        <v>0</v>
      </c>
    </row>
    <row r="94">
      <c r="A94" s="21" t="s">
        <v>162</v>
      </c>
      <c r="B94" s="22" t="s">
        <v>163</v>
      </c>
      <c r="C94" s="23">
        <f>0</f>
        <v>0</v>
      </c>
      <c r="D94" s="23">
        <f>0</f>
        <v>0</v>
      </c>
      <c r="E94" s="23">
        <f>0</f>
        <v>0</v>
      </c>
      <c r="F94" s="23">
        <f>0</f>
        <v>0</v>
      </c>
      <c r="G94" s="23">
        <f>0</f>
        <v>0</v>
      </c>
      <c r="H94" s="24">
        <f>0</f>
        <v>0</v>
      </c>
      <c r="I94" s="24">
        <f>0</f>
        <v>0</v>
      </c>
      <c r="J94" s="25">
        <f>0</f>
        <v>0</v>
      </c>
      <c r="K94" s="26">
        <f>0</f>
        <v>0</v>
      </c>
      <c r="L94" s="27">
        <f>0</f>
        <v>0</v>
      </c>
      <c r="M94" s="27">
        <f>0</f>
        <v>0</v>
      </c>
      <c r="N94" s="27">
        <f>0</f>
        <v>0</v>
      </c>
      <c r="O94" s="27">
        <f>0</f>
        <v>0</v>
      </c>
      <c r="P94" s="27">
        <f>0</f>
        <v>0</v>
      </c>
      <c r="Q94" s="27">
        <f>0</f>
        <v>0</v>
      </c>
    </row>
    <row r="95">
      <c r="A95" s="21" t="s">
        <v>164</v>
      </c>
      <c r="B95" s="22" t="s">
        <v>165</v>
      </c>
      <c r="C95" s="23">
        <f>1173312</f>
        <v>1173312</v>
      </c>
      <c r="D95" s="23">
        <f>1097448</f>
        <v>1097448</v>
      </c>
      <c r="E95" s="23">
        <f>1137928</f>
        <v>1137928</v>
      </c>
      <c r="F95" s="23">
        <f>1135860</f>
        <v>1135860</v>
      </c>
      <c r="G95" s="23">
        <f>1004520</f>
        <v>1004520</v>
      </c>
      <c r="H95" s="24">
        <f>877740</f>
        <v>877740</v>
      </c>
      <c r="I95" s="24">
        <f>730000</f>
        <v>730000</v>
      </c>
      <c r="J95" s="25">
        <f>730000</f>
        <v>730000</v>
      </c>
      <c r="K95" s="26">
        <f>450000</f>
        <v>450000</v>
      </c>
      <c r="L95" s="27">
        <f>500000</f>
        <v>500000</v>
      </c>
      <c r="M95" s="27">
        <f>439950</f>
        <v>439950</v>
      </c>
      <c r="N95" s="27">
        <f>250000</f>
        <v>250000</v>
      </c>
      <c r="O95" s="27">
        <f>0</f>
        <v>0</v>
      </c>
      <c r="P95" s="27">
        <f>0</f>
        <v>0</v>
      </c>
      <c r="Q95" s="27">
        <f>0</f>
        <v>0</v>
      </c>
    </row>
    <row r="96">
      <c r="A96" s="21" t="s">
        <v>166</v>
      </c>
      <c r="B96" s="22" t="s">
        <v>167</v>
      </c>
      <c r="C96" s="23">
        <f>0</f>
        <v>0</v>
      </c>
      <c r="D96" s="23">
        <f>0</f>
        <v>0</v>
      </c>
      <c r="E96" s="23">
        <f>0</f>
        <v>0</v>
      </c>
      <c r="F96" s="23">
        <f>0</f>
        <v>0</v>
      </c>
      <c r="G96" s="23">
        <f>0</f>
        <v>0</v>
      </c>
      <c r="H96" s="24">
        <f>0</f>
        <v>0</v>
      </c>
      <c r="I96" s="24">
        <f>0</f>
        <v>0</v>
      </c>
      <c r="J96" s="25">
        <f>0</f>
        <v>0</v>
      </c>
      <c r="K96" s="26">
        <f>0</f>
        <v>0</v>
      </c>
      <c r="L96" s="27">
        <f>0</f>
        <v>0</v>
      </c>
      <c r="M96" s="27">
        <f>0</f>
        <v>0</v>
      </c>
      <c r="N96" s="27">
        <f>0</f>
        <v>0</v>
      </c>
      <c r="O96" s="27">
        <f>0</f>
        <v>0</v>
      </c>
      <c r="P96" s="27">
        <f>0</f>
        <v>0</v>
      </c>
      <c r="Q96" s="27">
        <f>0</f>
        <v>0</v>
      </c>
    </row>
    <row r="97">
      <c r="A97" s="21" t="s">
        <v>168</v>
      </c>
      <c r="B97" s="22" t="s">
        <v>169</v>
      </c>
      <c r="C97" s="23">
        <f>0</f>
        <v>0</v>
      </c>
      <c r="D97" s="23">
        <f>0</f>
        <v>0</v>
      </c>
      <c r="E97" s="23">
        <f>0</f>
        <v>0</v>
      </c>
      <c r="F97" s="23">
        <f>0</f>
        <v>0</v>
      </c>
      <c r="G97" s="23">
        <f>0</f>
        <v>0</v>
      </c>
      <c r="H97" s="24">
        <f>0</f>
        <v>0</v>
      </c>
      <c r="I97" s="24">
        <f>0</f>
        <v>0</v>
      </c>
      <c r="J97" s="25">
        <f>0</f>
        <v>0</v>
      </c>
      <c r="K97" s="26">
        <f>0</f>
        <v>0</v>
      </c>
      <c r="L97" s="27">
        <f>0</f>
        <v>0</v>
      </c>
      <c r="M97" s="27">
        <f>0</f>
        <v>0</v>
      </c>
      <c r="N97" s="27">
        <f>0</f>
        <v>0</v>
      </c>
      <c r="O97" s="27">
        <f>0</f>
        <v>0</v>
      </c>
      <c r="P97" s="27">
        <f>0</f>
        <v>0</v>
      </c>
      <c r="Q97" s="27">
        <f>0</f>
        <v>0</v>
      </c>
    </row>
    <row r="98">
      <c r="A98" s="21" t="s">
        <v>170</v>
      </c>
      <c r="B98" s="22" t="s">
        <v>171</v>
      </c>
      <c r="C98" s="23">
        <f>0</f>
        <v>0</v>
      </c>
      <c r="D98" s="23">
        <f>0</f>
        <v>0</v>
      </c>
      <c r="E98" s="23">
        <f>0</f>
        <v>0</v>
      </c>
      <c r="F98" s="23">
        <f>0</f>
        <v>0</v>
      </c>
      <c r="G98" s="23">
        <f>0</f>
        <v>0</v>
      </c>
      <c r="H98" s="24">
        <f>0</f>
        <v>0</v>
      </c>
      <c r="I98" s="24">
        <f>0</f>
        <v>0</v>
      </c>
      <c r="J98" s="25">
        <f>0</f>
        <v>0</v>
      </c>
      <c r="K98" s="26">
        <f>0</f>
        <v>0</v>
      </c>
      <c r="L98" s="27">
        <f>0</f>
        <v>0</v>
      </c>
      <c r="M98" s="27">
        <f>0</f>
        <v>0</v>
      </c>
      <c r="N98" s="27">
        <f>0</f>
        <v>0</v>
      </c>
      <c r="O98" s="27">
        <f>0</f>
        <v>0</v>
      </c>
      <c r="P98" s="27">
        <f>0</f>
        <v>0</v>
      </c>
      <c r="Q98" s="27">
        <f>0</f>
        <v>0</v>
      </c>
    </row>
    <row r="99">
      <c r="A99" s="21" t="s">
        <v>172</v>
      </c>
      <c r="B99" s="22" t="s">
        <v>173</v>
      </c>
      <c r="C99" s="23">
        <f>0</f>
        <v>0</v>
      </c>
      <c r="D99" s="23">
        <f>0</f>
        <v>0</v>
      </c>
      <c r="E99" s="23">
        <f>0</f>
        <v>0</v>
      </c>
      <c r="F99" s="23">
        <f>0</f>
        <v>0</v>
      </c>
      <c r="G99" s="23">
        <f>0</f>
        <v>0</v>
      </c>
      <c r="H99" s="24">
        <f>0</f>
        <v>0</v>
      </c>
      <c r="I99" s="24">
        <f>0</f>
        <v>0</v>
      </c>
      <c r="J99" s="25">
        <f>0</f>
        <v>0</v>
      </c>
      <c r="K99" s="26">
        <f>0</f>
        <v>0</v>
      </c>
      <c r="L99" s="27">
        <f>0</f>
        <v>0</v>
      </c>
      <c r="M99" s="27">
        <f>0</f>
        <v>0</v>
      </c>
      <c r="N99" s="27">
        <f>0</f>
        <v>0</v>
      </c>
      <c r="O99" s="27">
        <f>0</f>
        <v>0</v>
      </c>
      <c r="P99" s="27">
        <f>0</f>
        <v>0</v>
      </c>
      <c r="Q99" s="27">
        <f>0</f>
        <v>0</v>
      </c>
    </row>
    <row r="100">
      <c r="A100" s="21" t="s">
        <v>174</v>
      </c>
      <c r="B100" s="22" t="s">
        <v>175</v>
      </c>
      <c r="C100" s="23">
        <f>0</f>
        <v>0</v>
      </c>
      <c r="D100" s="23">
        <f>0</f>
        <v>0</v>
      </c>
      <c r="E100" s="23">
        <f>0</f>
        <v>0</v>
      </c>
      <c r="F100" s="23">
        <f>0</f>
        <v>0</v>
      </c>
      <c r="G100" s="23">
        <f>0</f>
        <v>0</v>
      </c>
      <c r="H100" s="24">
        <f>0</f>
        <v>0</v>
      </c>
      <c r="I100" s="24">
        <f>0</f>
        <v>0</v>
      </c>
      <c r="J100" s="25">
        <f>0</f>
        <v>0</v>
      </c>
      <c r="K100" s="26">
        <f>0</f>
        <v>0</v>
      </c>
      <c r="L100" s="27">
        <f>0</f>
        <v>0</v>
      </c>
      <c r="M100" s="27">
        <f>0</f>
        <v>0</v>
      </c>
      <c r="N100" s="27">
        <f>0</f>
        <v>0</v>
      </c>
      <c r="O100" s="27">
        <f>0</f>
        <v>0</v>
      </c>
      <c r="P100" s="27">
        <f>0</f>
        <v>0</v>
      </c>
      <c r="Q100" s="27">
        <f>0</f>
        <v>0</v>
      </c>
    </row>
    <row r="101">
      <c r="A101" s="21" t="s">
        <v>176</v>
      </c>
      <c r="B101" s="22" t="s">
        <v>177</v>
      </c>
      <c r="C101" s="23">
        <f>0</f>
        <v>0</v>
      </c>
      <c r="D101" s="23">
        <f>0</f>
        <v>0</v>
      </c>
      <c r="E101" s="23">
        <f>0</f>
        <v>0</v>
      </c>
      <c r="F101" s="23">
        <f>0</f>
        <v>0</v>
      </c>
      <c r="G101" s="23">
        <f>0</f>
        <v>0</v>
      </c>
      <c r="H101" s="24">
        <f>0</f>
        <v>0</v>
      </c>
      <c r="I101" s="24">
        <f>0</f>
        <v>0</v>
      </c>
      <c r="J101" s="25">
        <f>0</f>
        <v>0</v>
      </c>
      <c r="K101" s="26">
        <f>0</f>
        <v>0</v>
      </c>
      <c r="L101" s="27">
        <f>0</f>
        <v>0</v>
      </c>
      <c r="M101" s="27">
        <f>0</f>
        <v>0</v>
      </c>
      <c r="N101" s="27">
        <f>0</f>
        <v>0</v>
      </c>
      <c r="O101" s="27">
        <f>0</f>
        <v>0</v>
      </c>
      <c r="P101" s="27">
        <f>0</f>
        <v>0</v>
      </c>
      <c r="Q101" s="27">
        <f>0</f>
        <v>0</v>
      </c>
    </row>
    <row r="102">
      <c r="A102" s="21" t="s">
        <v>178</v>
      </c>
      <c r="B102" s="22" t="s">
        <v>179</v>
      </c>
      <c r="C102" s="23">
        <f>0</f>
        <v>0</v>
      </c>
      <c r="D102" s="23">
        <f>0</f>
        <v>0</v>
      </c>
      <c r="E102" s="23">
        <f>0</f>
        <v>0</v>
      </c>
      <c r="F102" s="23">
        <f>0</f>
        <v>0</v>
      </c>
      <c r="G102" s="23">
        <f>-102580</f>
        <v>-102580</v>
      </c>
      <c r="H102" s="24">
        <f>0</f>
        <v>0</v>
      </c>
      <c r="I102" s="24">
        <f>0</f>
        <v>0</v>
      </c>
      <c r="J102" s="25">
        <f>0</f>
        <v>0</v>
      </c>
      <c r="K102" s="26">
        <f>0</f>
        <v>0</v>
      </c>
      <c r="L102" s="27">
        <f>0</f>
        <v>0</v>
      </c>
      <c r="M102" s="27">
        <f>0</f>
        <v>0</v>
      </c>
      <c r="N102" s="27">
        <f>0</f>
        <v>0</v>
      </c>
      <c r="O102" s="27">
        <f>0</f>
        <v>0</v>
      </c>
      <c r="P102" s="27">
        <f>0</f>
        <v>0</v>
      </c>
      <c r="Q102" s="27">
        <f>0</f>
        <v>0</v>
      </c>
    </row>
    <row r="103">
      <c r="A103" s="21" t="s">
        <v>180</v>
      </c>
      <c r="B103" s="22" t="s">
        <v>181</v>
      </c>
      <c r="C103" s="23">
        <f>0</f>
        <v>0</v>
      </c>
      <c r="D103" s="23">
        <f>0</f>
        <v>0</v>
      </c>
      <c r="E103" s="23">
        <f>0</f>
        <v>0</v>
      </c>
      <c r="F103" s="23">
        <f>0</f>
        <v>0</v>
      </c>
      <c r="G103" s="23">
        <f>0</f>
        <v>0</v>
      </c>
      <c r="H103" s="24">
        <f>0</f>
        <v>0</v>
      </c>
      <c r="I103" s="24">
        <f>0</f>
        <v>0</v>
      </c>
      <c r="J103" s="25">
        <f>0</f>
        <v>0</v>
      </c>
      <c r="K103" s="26">
        <f>0</f>
        <v>0</v>
      </c>
      <c r="L103" s="27">
        <f>0</f>
        <v>0</v>
      </c>
      <c r="M103" s="27">
        <f>0</f>
        <v>0</v>
      </c>
      <c r="N103" s="27">
        <f>0</f>
        <v>0</v>
      </c>
      <c r="O103" s="27">
        <f>0</f>
        <v>0</v>
      </c>
      <c r="P103" s="27">
        <f>0</f>
        <v>0</v>
      </c>
      <c r="Q103" s="27">
        <f>0</f>
        <v>0</v>
      </c>
    </row>
    <row r="104">
      <c r="A104" s="21" t="s">
        <v>182</v>
      </c>
      <c r="B104" s="22" t="s">
        <v>183</v>
      </c>
      <c r="C104" s="23">
        <f>0</f>
        <v>0</v>
      </c>
      <c r="D104" s="23">
        <f>0</f>
        <v>0</v>
      </c>
      <c r="E104" s="23">
        <f>0</f>
        <v>0</v>
      </c>
      <c r="F104" s="23">
        <f>0</f>
        <v>0</v>
      </c>
      <c r="G104" s="23">
        <f>0</f>
        <v>0</v>
      </c>
      <c r="H104" s="24">
        <f>0</f>
        <v>0</v>
      </c>
      <c r="I104" s="24">
        <f>0</f>
        <v>0</v>
      </c>
      <c r="J104" s="25">
        <f>0</f>
        <v>0</v>
      </c>
      <c r="K104" s="26">
        <f>0</f>
        <v>0</v>
      </c>
      <c r="L104" s="27">
        <f>0</f>
        <v>0</v>
      </c>
      <c r="M104" s="27">
        <f>0</f>
        <v>0</v>
      </c>
      <c r="N104" s="27">
        <f>0</f>
        <v>0</v>
      </c>
      <c r="O104" s="27">
        <f>0</f>
        <v>0</v>
      </c>
      <c r="P104" s="27">
        <f>0</f>
        <v>0</v>
      </c>
      <c r="Q104" s="27">
        <f>0</f>
        <v>0</v>
      </c>
    </row>
    <row r="105">
      <c r="A105" s="21" t="s">
        <v>184</v>
      </c>
      <c r="B105" s="22" t="s">
        <v>185</v>
      </c>
      <c r="C105" s="23">
        <f>0</f>
        <v>0</v>
      </c>
      <c r="D105" s="23">
        <f>0</f>
        <v>0</v>
      </c>
      <c r="E105" s="23">
        <f>0</f>
        <v>0</v>
      </c>
      <c r="F105" s="23">
        <f>0</f>
        <v>0</v>
      </c>
      <c r="G105" s="23">
        <f>0</f>
        <v>0</v>
      </c>
      <c r="H105" s="24">
        <f>0</f>
        <v>0</v>
      </c>
      <c r="I105" s="24">
        <f>0</f>
        <v>0</v>
      </c>
      <c r="J105" s="25">
        <f>0</f>
        <v>0</v>
      </c>
      <c r="K105" s="26">
        <f>0</f>
        <v>0</v>
      </c>
      <c r="L105" s="27">
        <f>0</f>
        <v>0</v>
      </c>
      <c r="M105" s="27">
        <f>0</f>
        <v>0</v>
      </c>
      <c r="N105" s="27">
        <f>0</f>
        <v>0</v>
      </c>
      <c r="O105" s="27">
        <f>0</f>
        <v>0</v>
      </c>
      <c r="P105" s="27">
        <f>0</f>
        <v>0</v>
      </c>
      <c r="Q105" s="27">
        <f>0</f>
        <v>0</v>
      </c>
    </row>
  </sheetData>
  <mergeCells count="1">
    <mergeCell ref="C3:H3"/>
  </mergeCells>
  <conditionalFormatting sqref="K67:Q68 K71:Q73">
    <cfRule priority="1" stopIfTrue="1" dxfId="0" type="cellIs" operator="equal">
      <formula>"Nie spełniona"</formula>
    </cfRule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2024-02-28T11:41:17Z</dcterms:modified>
</cp:coreProperties>
</file>