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L2"/>
  <c r="M2"/>
  <c r="N2"/>
  <c r="O2"/>
  <c r="P2"/>
  <c r="Q2"/>
  <c r="J2"/>
  <c r="I2"/>
  <c r="H2"/>
  <c r="G2"/>
  <c r="F2"/>
  <c r="E2"/>
  <c r="D2"/>
  <c r="C2"/>
  <c r="Q99"/>
  <c r="P99"/>
  <c r="O99"/>
  <c r="N99"/>
  <c r="M99"/>
  <c r="L99"/>
  <c r="K99"/>
  <c r="J99"/>
  <c r="I99"/>
  <c r="H99"/>
  <c r="G99"/>
  <c r="F99"/>
  <c r="E99"/>
  <c r="D99"/>
  <c r="C99"/>
  <c r="Q98"/>
  <c r="P98"/>
  <c r="O98"/>
  <c r="N98"/>
  <c r="M98"/>
  <c r="L98"/>
  <c r="K98"/>
  <c r="J98"/>
  <c r="I98"/>
  <c r="H98"/>
  <c r="G98"/>
  <c r="F98"/>
  <c r="E98"/>
  <c r="D98"/>
  <c r="C98"/>
  <c r="Q97"/>
  <c r="P97"/>
  <c r="O97"/>
  <c r="N97"/>
  <c r="M97"/>
  <c r="L97"/>
  <c r="K97"/>
  <c r="J97"/>
  <c r="I97"/>
  <c r="H97"/>
  <c r="G97"/>
  <c r="F97"/>
  <c r="E97"/>
  <c r="D97"/>
  <c r="C97"/>
  <c r="Q96"/>
  <c r="P96"/>
  <c r="O96"/>
  <c r="N96"/>
  <c r="M96"/>
  <c r="L96"/>
  <c r="K96"/>
  <c r="J96"/>
  <c r="I96"/>
  <c r="H96"/>
  <c r="G96"/>
  <c r="F96"/>
  <c r="E96"/>
  <c r="D96"/>
  <c r="C96"/>
  <c r="Q95"/>
  <c r="P95"/>
  <c r="O95"/>
  <c r="N95"/>
  <c r="M95"/>
  <c r="L95"/>
  <c r="K95"/>
  <c r="J95"/>
  <c r="I95"/>
  <c r="H95"/>
  <c r="G95"/>
  <c r="F95"/>
  <c r="E95"/>
  <c r="D95"/>
  <c r="C95"/>
  <c r="Q94"/>
  <c r="P94"/>
  <c r="O94"/>
  <c r="N94"/>
  <c r="M94"/>
  <c r="L94"/>
  <c r="K94"/>
  <c r="J94"/>
  <c r="I94"/>
  <c r="H94"/>
  <c r="G94"/>
  <c r="F94"/>
  <c r="E94"/>
  <c r="D94"/>
  <c r="C94"/>
  <c r="Q93"/>
  <c r="P93"/>
  <c r="O93"/>
  <c r="N93"/>
  <c r="M93"/>
  <c r="L93"/>
  <c r="K93"/>
  <c r="J93"/>
  <c r="I93"/>
  <c r="H93"/>
  <c r="G93"/>
  <c r="F93"/>
  <c r="E93"/>
  <c r="D93"/>
  <c r="C93"/>
  <c r="Q92"/>
  <c r="P92"/>
  <c r="O92"/>
  <c r="N92"/>
  <c r="M92"/>
  <c r="L92"/>
  <c r="K92"/>
  <c r="J92"/>
  <c r="I92"/>
  <c r="H92"/>
  <c r="G92"/>
  <c r="F92"/>
  <c r="E92"/>
  <c r="D92"/>
  <c r="C92"/>
  <c r="Q91"/>
  <c r="P91"/>
  <c r="O91"/>
  <c r="N91"/>
  <c r="M91"/>
  <c r="L91"/>
  <c r="K91"/>
  <c r="J91"/>
  <c r="I91"/>
  <c r="H91"/>
  <c r="G91"/>
  <c r="F91"/>
  <c r="E91"/>
  <c r="D91"/>
  <c r="C91"/>
  <c r="Q90"/>
  <c r="P90"/>
  <c r="O90"/>
  <c r="N90"/>
  <c r="M90"/>
  <c r="L90"/>
  <c r="K90"/>
  <c r="J90"/>
  <c r="I90"/>
  <c r="H90"/>
  <c r="G90"/>
  <c r="F90"/>
  <c r="E90"/>
  <c r="D90"/>
  <c r="C90"/>
  <c r="Q89"/>
  <c r="P89"/>
  <c r="O89"/>
  <c r="N89"/>
  <c r="M89"/>
  <c r="L89"/>
  <c r="K89"/>
  <c r="J89"/>
  <c r="I89"/>
  <c r="H89"/>
  <c r="G89"/>
  <c r="F89"/>
  <c r="E89"/>
  <c r="D89"/>
  <c r="C89"/>
  <c r="Q88"/>
  <c r="P88"/>
  <c r="O88"/>
  <c r="N88"/>
  <c r="M88"/>
  <c r="L88"/>
  <c r="K88"/>
  <c r="J88"/>
  <c r="I88"/>
  <c r="H88"/>
  <c r="G88"/>
  <c r="F88"/>
  <c r="E88"/>
  <c r="D88"/>
  <c r="C88"/>
  <c r="Q87"/>
  <c r="P87"/>
  <c r="O87"/>
  <c r="N87"/>
  <c r="M87"/>
  <c r="L87"/>
  <c r="K87"/>
  <c r="J87"/>
  <c r="I87"/>
  <c r="H87"/>
  <c r="G87"/>
  <c r="F87"/>
  <c r="E87"/>
  <c r="D87"/>
  <c r="C87"/>
  <c r="Q86"/>
  <c r="P86"/>
  <c r="O86"/>
  <c r="N86"/>
  <c r="M86"/>
  <c r="L86"/>
  <c r="K86"/>
  <c r="J86"/>
  <c r="I86"/>
  <c r="H86"/>
  <c r="G86"/>
  <c r="F86"/>
  <c r="E86"/>
  <c r="D86"/>
  <c r="C86"/>
  <c r="Q85"/>
  <c r="P85"/>
  <c r="O85"/>
  <c r="N85"/>
  <c r="M85"/>
  <c r="L85"/>
  <c r="K85"/>
  <c r="J85"/>
  <c r="I85"/>
  <c r="H85"/>
  <c r="G85"/>
  <c r="F85"/>
  <c r="E85"/>
  <c r="D85"/>
  <c r="C85"/>
  <c r="Q84"/>
  <c r="P84"/>
  <c r="O84"/>
  <c r="N84"/>
  <c r="M84"/>
  <c r="L84"/>
  <c r="K84"/>
  <c r="J84"/>
  <c r="I84"/>
  <c r="H84"/>
  <c r="G84"/>
  <c r="F84"/>
  <c r="E84"/>
  <c r="D84"/>
  <c r="C84"/>
  <c r="Q83"/>
  <c r="P83"/>
  <c r="O83"/>
  <c r="N83"/>
  <c r="M83"/>
  <c r="L83"/>
  <c r="K83"/>
  <c r="J83"/>
  <c r="I83"/>
  <c r="H83"/>
  <c r="G83"/>
  <c r="F83"/>
  <c r="E83"/>
  <c r="D83"/>
  <c r="C83"/>
  <c r="Q82"/>
  <c r="P82"/>
  <c r="O82"/>
  <c r="N82"/>
  <c r="M82"/>
  <c r="L82"/>
  <c r="K82"/>
  <c r="J82"/>
  <c r="I82"/>
  <c r="H82"/>
  <c r="G82"/>
  <c r="F82"/>
  <c r="E82"/>
  <c r="D82"/>
  <c r="C82"/>
  <c r="Q80"/>
  <c r="P80"/>
  <c r="O80"/>
  <c r="N80"/>
  <c r="M80"/>
  <c r="L80"/>
  <c r="K80"/>
  <c r="J80"/>
  <c r="I80"/>
  <c r="H80"/>
  <c r="G80"/>
  <c r="F80"/>
  <c r="E80"/>
  <c r="D80"/>
  <c r="C80"/>
  <c r="Q79"/>
  <c r="P79"/>
  <c r="O79"/>
  <c r="N79"/>
  <c r="M79"/>
  <c r="L79"/>
  <c r="K79"/>
  <c r="J79"/>
  <c r="I79"/>
  <c r="H79"/>
  <c r="G79"/>
  <c r="F79"/>
  <c r="E79"/>
  <c r="D79"/>
  <c r="C79"/>
  <c r="Q78"/>
  <c r="P78"/>
  <c r="O78"/>
  <c r="N78"/>
  <c r="M78"/>
  <c r="L78"/>
  <c r="K78"/>
  <c r="J78"/>
  <c r="I78"/>
  <c r="H78"/>
  <c r="G78"/>
  <c r="F78"/>
  <c r="E78"/>
  <c r="D78"/>
  <c r="C78"/>
  <c r="Q77"/>
  <c r="P77"/>
  <c r="O77"/>
  <c r="N77"/>
  <c r="M77"/>
  <c r="L77"/>
  <c r="K77"/>
  <c r="J77"/>
  <c r="I77"/>
  <c r="H77"/>
  <c r="G77"/>
  <c r="F77"/>
  <c r="E77"/>
  <c r="D77"/>
  <c r="C77"/>
  <c r="Q76"/>
  <c r="P76"/>
  <c r="O76"/>
  <c r="N76"/>
  <c r="M76"/>
  <c r="L76"/>
  <c r="K76"/>
  <c r="J76"/>
  <c r="I76"/>
  <c r="H76"/>
  <c r="G76"/>
  <c r="F76"/>
  <c r="E76"/>
  <c r="D76"/>
  <c r="C76"/>
  <c r="Q75"/>
  <c r="P75"/>
  <c r="O75"/>
  <c r="N75"/>
  <c r="M75"/>
  <c r="L75"/>
  <c r="K75"/>
  <c r="J75"/>
  <c r="I75"/>
  <c r="H75"/>
  <c r="G75"/>
  <c r="F75"/>
  <c r="E75"/>
  <c r="D75"/>
  <c r="C75"/>
  <c r="Q74"/>
  <c r="P74"/>
  <c r="O74"/>
  <c r="N74"/>
  <c r="M74"/>
  <c r="L74"/>
  <c r="K74"/>
  <c r="J74"/>
  <c r="I74"/>
  <c r="H74"/>
  <c r="G74"/>
  <c r="F74"/>
  <c r="E74"/>
  <c r="D74"/>
  <c r="C74"/>
  <c r="Q73"/>
  <c r="P73"/>
  <c r="O73"/>
  <c r="N73"/>
  <c r="M73"/>
  <c r="L73"/>
  <c r="K73"/>
  <c r="J73"/>
  <c r="I73"/>
  <c r="H73"/>
  <c r="G73"/>
  <c r="F73"/>
  <c r="E73"/>
  <c r="D73"/>
  <c r="C73"/>
  <c r="Q72"/>
  <c r="P72"/>
  <c r="O72"/>
  <c r="N72"/>
  <c r="M72"/>
  <c r="L72"/>
  <c r="K72"/>
  <c r="J72"/>
  <c r="I72"/>
  <c r="H72"/>
  <c r="G72"/>
  <c r="F72"/>
  <c r="E72"/>
  <c r="D72"/>
  <c r="C72"/>
  <c r="Q71"/>
  <c r="P71"/>
  <c r="O71"/>
  <c r="N71"/>
  <c r="M71"/>
  <c r="L71"/>
  <c r="K71"/>
  <c r="J71"/>
  <c r="I71"/>
  <c r="H71"/>
  <c r="G71"/>
  <c r="F71"/>
  <c r="E71"/>
  <c r="D71"/>
  <c r="C71"/>
  <c r="Q70"/>
  <c r="P70"/>
  <c r="O70"/>
  <c r="N70"/>
  <c r="M70"/>
  <c r="L70"/>
  <c r="K70"/>
  <c r="J70"/>
  <c r="I70"/>
  <c r="H70"/>
  <c r="G70"/>
  <c r="F70"/>
  <c r="E70"/>
  <c r="D70"/>
  <c r="C70"/>
  <c r="Q69"/>
  <c r="P69"/>
  <c r="O69"/>
  <c r="N69"/>
  <c r="M69"/>
  <c r="L69"/>
  <c r="K69"/>
  <c r="J69"/>
  <c r="I69"/>
  <c r="H69"/>
  <c r="G69"/>
  <c r="F69"/>
  <c r="E69"/>
  <c r="D69"/>
  <c r="C69"/>
  <c r="Q67"/>
  <c r="P67"/>
  <c r="O67"/>
  <c r="N67"/>
  <c r="M67"/>
  <c r="L67"/>
  <c r="K67"/>
  <c r="Q64"/>
  <c r="P64"/>
  <c r="O64"/>
  <c r="N64"/>
  <c r="M64"/>
  <c r="L64"/>
  <c r="K64"/>
  <c r="Q63"/>
  <c r="P63"/>
  <c r="O63"/>
  <c r="N63"/>
  <c r="M63"/>
  <c r="L63"/>
  <c r="K63"/>
  <c r="Q62"/>
  <c r="P62"/>
  <c r="O62"/>
  <c r="N62"/>
  <c r="M62"/>
  <c r="L62"/>
  <c r="K62"/>
  <c r="J62"/>
  <c r="I62"/>
  <c r="H62"/>
  <c r="G62"/>
  <c r="F62"/>
  <c r="E62"/>
  <c r="D62"/>
  <c r="C62"/>
  <c r="Q61"/>
  <c r="P61"/>
  <c r="O61"/>
  <c r="N61"/>
  <c r="M61"/>
  <c r="L61"/>
  <c r="K61"/>
  <c r="J61"/>
  <c r="I61"/>
  <c r="H61"/>
  <c r="G61"/>
  <c r="F61"/>
  <c r="E61"/>
  <c r="D61"/>
  <c r="C61"/>
  <c r="Q60"/>
  <c r="P60"/>
  <c r="O60"/>
  <c r="N60"/>
  <c r="M60"/>
  <c r="L60"/>
  <c r="K60"/>
  <c r="J60"/>
  <c r="I60"/>
  <c r="H60"/>
  <c r="G60"/>
  <c r="F60"/>
  <c r="E60"/>
  <c r="D60"/>
  <c r="C60"/>
  <c r="Q59"/>
  <c r="P59"/>
  <c r="O59"/>
  <c r="N59"/>
  <c r="M59"/>
  <c r="L59"/>
  <c r="K59"/>
  <c r="Q58"/>
  <c r="P58"/>
  <c r="O58"/>
  <c r="N58"/>
  <c r="M58"/>
  <c r="L58"/>
  <c r="K58"/>
  <c r="Q57"/>
  <c r="P57"/>
  <c r="O57"/>
  <c r="N57"/>
  <c r="M57"/>
  <c r="L57"/>
  <c r="K57"/>
  <c r="Q56"/>
  <c r="Q66"/>
  <c r="Q65"/>
  <c r="P56"/>
  <c r="P66"/>
  <c r="P65"/>
  <c r="O56"/>
  <c r="O66"/>
  <c r="O65"/>
  <c r="N56"/>
  <c r="N66"/>
  <c r="N65"/>
  <c r="M56"/>
  <c r="M66"/>
  <c r="M65"/>
  <c r="L56"/>
  <c r="L66"/>
  <c r="L65"/>
  <c r="K56"/>
  <c r="K66"/>
  <c r="K65"/>
  <c r="Q54"/>
  <c r="P54"/>
  <c r="O54"/>
  <c r="N54"/>
  <c r="M54"/>
  <c r="L54"/>
  <c r="K54"/>
  <c r="J54"/>
  <c r="I54"/>
  <c r="H54"/>
  <c r="G54"/>
  <c r="F54"/>
  <c r="E54"/>
  <c r="D54"/>
  <c r="C54"/>
  <c r="Q53"/>
  <c r="P53"/>
  <c r="O53"/>
  <c r="N53"/>
  <c r="M53"/>
  <c r="L53"/>
  <c r="K53"/>
  <c r="J53"/>
  <c r="I53"/>
  <c r="H53"/>
  <c r="G53"/>
  <c r="F53"/>
  <c r="E53"/>
  <c r="D53"/>
  <c r="C53"/>
  <c r="Q51"/>
  <c r="P51"/>
  <c r="O51"/>
  <c r="N51"/>
  <c r="M51"/>
  <c r="L51"/>
  <c r="K51"/>
  <c r="J51"/>
  <c r="I51"/>
  <c r="H51"/>
  <c r="G51"/>
  <c r="F51"/>
  <c r="E51"/>
  <c r="D51"/>
  <c r="C51"/>
  <c r="Q50"/>
  <c r="P50"/>
  <c r="O50"/>
  <c r="N50"/>
  <c r="M50"/>
  <c r="L50"/>
  <c r="K50"/>
  <c r="J50"/>
  <c r="I50"/>
  <c r="H50"/>
  <c r="G50"/>
  <c r="F50"/>
  <c r="E50"/>
  <c r="D50"/>
  <c r="C50"/>
  <c r="Q49"/>
  <c r="P49"/>
  <c r="O49"/>
  <c r="N49"/>
  <c r="M49"/>
  <c r="L49"/>
  <c r="K49"/>
  <c r="J49"/>
  <c r="I49"/>
  <c r="H49"/>
  <c r="G49"/>
  <c r="F49"/>
  <c r="E49"/>
  <c r="D49"/>
  <c r="C49"/>
  <c r="Q48"/>
  <c r="P48"/>
  <c r="O48"/>
  <c r="N48"/>
  <c r="M48"/>
  <c r="L48"/>
  <c r="K48"/>
  <c r="J48"/>
  <c r="I48"/>
  <c r="H48"/>
  <c r="G48"/>
  <c r="F48"/>
  <c r="E48"/>
  <c r="D48"/>
  <c r="C48"/>
  <c r="Q47"/>
  <c r="P47"/>
  <c r="O47"/>
  <c r="N47"/>
  <c r="M47"/>
  <c r="L47"/>
  <c r="K47"/>
  <c r="J47"/>
  <c r="I47"/>
  <c r="H47"/>
  <c r="G47"/>
  <c r="F47"/>
  <c r="E47"/>
  <c r="D47"/>
  <c r="C47"/>
  <c r="Q46"/>
  <c r="P46"/>
  <c r="O46"/>
  <c r="N46"/>
  <c r="M46"/>
  <c r="L46"/>
  <c r="K46"/>
  <c r="J46"/>
  <c r="I46"/>
  <c r="H46"/>
  <c r="G46"/>
  <c r="F46"/>
  <c r="E46"/>
  <c r="D46"/>
  <c r="C46"/>
  <c r="Q45"/>
  <c r="P45"/>
  <c r="O45"/>
  <c r="N45"/>
  <c r="M45"/>
  <c r="L45"/>
  <c r="K45"/>
  <c r="J45"/>
  <c r="I45"/>
  <c r="H45"/>
  <c r="G45"/>
  <c r="F45"/>
  <c r="E45"/>
  <c r="D45"/>
  <c r="C45"/>
  <c r="Q44"/>
  <c r="P44"/>
  <c r="O44"/>
  <c r="N44"/>
  <c r="M44"/>
  <c r="L44"/>
  <c r="K44"/>
  <c r="J44"/>
  <c r="I44"/>
  <c r="H44"/>
  <c r="G44"/>
  <c r="F44"/>
  <c r="E44"/>
  <c r="D44"/>
  <c r="C44"/>
  <c r="Q43"/>
  <c r="P43"/>
  <c r="O43"/>
  <c r="N43"/>
  <c r="M43"/>
  <c r="L43"/>
  <c r="K43"/>
  <c r="J43"/>
  <c r="I43"/>
  <c r="H43"/>
  <c r="G43"/>
  <c r="F43"/>
  <c r="E43"/>
  <c r="D43"/>
  <c r="C43"/>
  <c r="Q42"/>
  <c r="P42"/>
  <c r="O42"/>
  <c r="N42"/>
  <c r="M42"/>
  <c r="L42"/>
  <c r="K42"/>
  <c r="J42"/>
  <c r="I42"/>
  <c r="H42"/>
  <c r="G42"/>
  <c r="F42"/>
  <c r="E42"/>
  <c r="D42"/>
  <c r="C42"/>
  <c r="Q41"/>
  <c r="P41"/>
  <c r="O41"/>
  <c r="N41"/>
  <c r="M41"/>
  <c r="L41"/>
  <c r="K41"/>
  <c r="J41"/>
  <c r="I41"/>
  <c r="H41"/>
  <c r="G41"/>
  <c r="F41"/>
  <c r="E41"/>
  <c r="D41"/>
  <c r="C41"/>
  <c r="Q40"/>
  <c r="P40"/>
  <c r="O40"/>
  <c r="N40"/>
  <c r="M40"/>
  <c r="L40"/>
  <c r="K40"/>
  <c r="J40"/>
  <c r="I40"/>
  <c r="H40"/>
  <c r="G40"/>
  <c r="F40"/>
  <c r="E40"/>
  <c r="D40"/>
  <c r="C40"/>
  <c r="Q39"/>
  <c r="P39"/>
  <c r="O39"/>
  <c r="N39"/>
  <c r="M39"/>
  <c r="L39"/>
  <c r="K39"/>
  <c r="J39"/>
  <c r="I39"/>
  <c r="H39"/>
  <c r="G39"/>
  <c r="F39"/>
  <c r="E39"/>
  <c r="D39"/>
  <c r="C39"/>
  <c r="Q38"/>
  <c r="P38"/>
  <c r="O38"/>
  <c r="N38"/>
  <c r="M38"/>
  <c r="L38"/>
  <c r="K38"/>
  <c r="J38"/>
  <c r="I38"/>
  <c r="H38"/>
  <c r="G38"/>
  <c r="F38"/>
  <c r="E38"/>
  <c r="D38"/>
  <c r="C38"/>
  <c r="Q37"/>
  <c r="P37"/>
  <c r="O37"/>
  <c r="N37"/>
  <c r="M37"/>
  <c r="L37"/>
  <c r="K37"/>
  <c r="J37"/>
  <c r="I37"/>
  <c r="H37"/>
  <c r="G37"/>
  <c r="F37"/>
  <c r="E37"/>
  <c r="D37"/>
  <c r="C37"/>
  <c r="Q36"/>
  <c r="P36"/>
  <c r="O36"/>
  <c r="N36"/>
  <c r="M36"/>
  <c r="L36"/>
  <c r="K36"/>
  <c r="J36"/>
  <c r="I36"/>
  <c r="H36"/>
  <c r="G36"/>
  <c r="F36"/>
  <c r="E36"/>
  <c r="D36"/>
  <c r="C36"/>
  <c r="Q35"/>
  <c r="P35"/>
  <c r="O35"/>
  <c r="N35"/>
  <c r="M35"/>
  <c r="L35"/>
  <c r="K35"/>
  <c r="J35"/>
  <c r="I35"/>
  <c r="H35"/>
  <c r="G35"/>
  <c r="F35"/>
  <c r="E35"/>
  <c r="D35"/>
  <c r="C35"/>
  <c r="Q34"/>
  <c r="P34"/>
  <c r="O34"/>
  <c r="N34"/>
  <c r="M34"/>
  <c r="L34"/>
  <c r="K34"/>
  <c r="J34"/>
  <c r="I34"/>
  <c r="H34"/>
  <c r="G34"/>
  <c r="F34"/>
  <c r="E34"/>
  <c r="D34"/>
  <c r="C34"/>
  <c r="Q33"/>
  <c r="P33"/>
  <c r="O33"/>
  <c r="N33"/>
  <c r="M33"/>
  <c r="L33"/>
  <c r="K33"/>
  <c r="J33"/>
  <c r="I33"/>
  <c r="H33"/>
  <c r="G33"/>
  <c r="F33"/>
  <c r="E33"/>
  <c r="D33"/>
  <c r="C33"/>
  <c r="Q32"/>
  <c r="P32"/>
  <c r="O32"/>
  <c r="N32"/>
  <c r="M32"/>
  <c r="L32"/>
  <c r="K32"/>
  <c r="J32"/>
  <c r="I32"/>
  <c r="H32"/>
  <c r="G32"/>
  <c r="F32"/>
  <c r="E32"/>
  <c r="D32"/>
  <c r="C32"/>
  <c r="Q31"/>
  <c r="P31"/>
  <c r="O31"/>
  <c r="N31"/>
  <c r="M31"/>
  <c r="L31"/>
  <c r="K31"/>
  <c r="J31"/>
  <c r="I31"/>
  <c r="H31"/>
  <c r="G31"/>
  <c r="F31"/>
  <c r="E31"/>
  <c r="D31"/>
  <c r="C31"/>
  <c r="Q30"/>
  <c r="P30"/>
  <c r="O30"/>
  <c r="N30"/>
  <c r="M30"/>
  <c r="L30"/>
  <c r="K30"/>
  <c r="J30"/>
  <c r="I30"/>
  <c r="H30"/>
  <c r="G30"/>
  <c r="F30"/>
  <c r="E30"/>
  <c r="D30"/>
  <c r="C30"/>
  <c r="Q29"/>
  <c r="P29"/>
  <c r="O29"/>
  <c r="N29"/>
  <c r="M29"/>
  <c r="L29"/>
  <c r="K29"/>
  <c r="J29"/>
  <c r="I29"/>
  <c r="H29"/>
  <c r="G29"/>
  <c r="F29"/>
  <c r="E29"/>
  <c r="D29"/>
  <c r="C29"/>
  <c r="Q28"/>
  <c r="P28"/>
  <c r="O28"/>
  <c r="N28"/>
  <c r="M28"/>
  <c r="L28"/>
  <c r="K28"/>
  <c r="J28"/>
  <c r="I28"/>
  <c r="H28"/>
  <c r="G28"/>
  <c r="F28"/>
  <c r="E28"/>
  <c r="D28"/>
  <c r="C28"/>
  <c r="Q27"/>
  <c r="P27"/>
  <c r="O27"/>
  <c r="N27"/>
  <c r="M27"/>
  <c r="L27"/>
  <c r="K27"/>
  <c r="J27"/>
  <c r="I27"/>
  <c r="H27"/>
  <c r="G27"/>
  <c r="F27"/>
  <c r="E27"/>
  <c r="D27"/>
  <c r="C27"/>
  <c r="Q26"/>
  <c r="P26"/>
  <c r="O26"/>
  <c r="N26"/>
  <c r="M26"/>
  <c r="L26"/>
  <c r="K26"/>
  <c r="J26"/>
  <c r="I26"/>
  <c r="H26"/>
  <c r="G26"/>
  <c r="F26"/>
  <c r="E26"/>
  <c r="D26"/>
  <c r="C26"/>
  <c r="Q25"/>
  <c r="P25"/>
  <c r="O25"/>
  <c r="N25"/>
  <c r="M25"/>
  <c r="L25"/>
  <c r="K25"/>
  <c r="J25"/>
  <c r="I25"/>
  <c r="H25"/>
  <c r="G25"/>
  <c r="F25"/>
  <c r="E25"/>
  <c r="D25"/>
  <c r="C25"/>
  <c r="Q24"/>
  <c r="P24"/>
  <c r="O24"/>
  <c r="N24"/>
  <c r="M24"/>
  <c r="L24"/>
  <c r="K24"/>
  <c r="J24"/>
  <c r="I24"/>
  <c r="H24"/>
  <c r="G24"/>
  <c r="F24"/>
  <c r="E24"/>
  <c r="D24"/>
  <c r="C24"/>
  <c r="Q23"/>
  <c r="P23"/>
  <c r="O23"/>
  <c r="N23"/>
  <c r="M23"/>
  <c r="L23"/>
  <c r="K23"/>
  <c r="J23"/>
  <c r="I23"/>
  <c r="H23"/>
  <c r="G23"/>
  <c r="F23"/>
  <c r="E23"/>
  <c r="D23"/>
  <c r="C23"/>
  <c r="Q22"/>
  <c r="P22"/>
  <c r="O22"/>
  <c r="N22"/>
  <c r="M22"/>
  <c r="L22"/>
  <c r="K22"/>
  <c r="J22"/>
  <c r="I22"/>
  <c r="H22"/>
  <c r="G22"/>
  <c r="F22"/>
  <c r="E22"/>
  <c r="D22"/>
  <c r="C22"/>
  <c r="Q21"/>
  <c r="P21"/>
  <c r="O21"/>
  <c r="N21"/>
  <c r="M21"/>
  <c r="L21"/>
  <c r="K21"/>
  <c r="J21"/>
  <c r="I21"/>
  <c r="H21"/>
  <c r="G21"/>
  <c r="F21"/>
  <c r="E21"/>
  <c r="D21"/>
  <c r="C21"/>
  <c r="Q20"/>
  <c r="P20"/>
  <c r="O20"/>
  <c r="N20"/>
  <c r="M20"/>
  <c r="L20"/>
  <c r="K20"/>
  <c r="J20"/>
  <c r="I20"/>
  <c r="H20"/>
  <c r="G20"/>
  <c r="F20"/>
  <c r="E20"/>
  <c r="D20"/>
  <c r="C20"/>
  <c r="Q19"/>
  <c r="P19"/>
  <c r="O19"/>
  <c r="N19"/>
  <c r="M19"/>
  <c r="L19"/>
  <c r="K19"/>
  <c r="J19"/>
  <c r="I19"/>
  <c r="H19"/>
  <c r="G19"/>
  <c r="F19"/>
  <c r="E19"/>
  <c r="D19"/>
  <c r="C19"/>
  <c r="Q18"/>
  <c r="P18"/>
  <c r="O18"/>
  <c r="N18"/>
  <c r="M18"/>
  <c r="L18"/>
  <c r="K18"/>
  <c r="J18"/>
  <c r="I18"/>
  <c r="H18"/>
  <c r="G18"/>
  <c r="F18"/>
  <c r="E18"/>
  <c r="D18"/>
  <c r="C18"/>
  <c r="Q17"/>
  <c r="P17"/>
  <c r="O17"/>
  <c r="N17"/>
  <c r="M17"/>
  <c r="L17"/>
  <c r="K17"/>
  <c r="J17"/>
  <c r="I17"/>
  <c r="H17"/>
  <c r="G17"/>
  <c r="F17"/>
  <c r="E17"/>
  <c r="D17"/>
  <c r="C17"/>
  <c r="Q16"/>
  <c r="P16"/>
  <c r="O16"/>
  <c r="N16"/>
  <c r="M16"/>
  <c r="L16"/>
  <c r="K16"/>
  <c r="J16"/>
  <c r="I16"/>
  <c r="H16"/>
  <c r="G16"/>
  <c r="F16"/>
  <c r="E16"/>
  <c r="D16"/>
  <c r="C16"/>
  <c r="Q15"/>
  <c r="P15"/>
  <c r="O15"/>
  <c r="N15"/>
  <c r="M15"/>
  <c r="L15"/>
  <c r="K15"/>
  <c r="J15"/>
  <c r="I15"/>
  <c r="H15"/>
  <c r="G15"/>
  <c r="F15"/>
  <c r="E15"/>
  <c r="D15"/>
  <c r="C15"/>
  <c r="Q14"/>
  <c r="P14"/>
  <c r="O14"/>
  <c r="N14"/>
  <c r="M14"/>
  <c r="L14"/>
  <c r="K14"/>
  <c r="J14"/>
  <c r="I14"/>
  <c r="H14"/>
  <c r="G14"/>
  <c r="F14"/>
  <c r="E14"/>
  <c r="D14"/>
  <c r="C14"/>
  <c r="Q13"/>
  <c r="P13"/>
  <c r="O13"/>
  <c r="N13"/>
  <c r="M13"/>
  <c r="L13"/>
  <c r="K13"/>
  <c r="J13"/>
  <c r="I13"/>
  <c r="H13"/>
  <c r="G13"/>
  <c r="F13"/>
  <c r="E13"/>
  <c r="D13"/>
  <c r="C13"/>
  <c r="Q12"/>
  <c r="P12"/>
  <c r="O12"/>
  <c r="N12"/>
  <c r="M12"/>
  <c r="L12"/>
  <c r="K12"/>
  <c r="J12"/>
  <c r="I12"/>
  <c r="H12"/>
  <c r="G12"/>
  <c r="F12"/>
  <c r="E12"/>
  <c r="D12"/>
  <c r="C12"/>
  <c r="Q11"/>
  <c r="P11"/>
  <c r="O11"/>
  <c r="N11"/>
  <c r="M11"/>
  <c r="L11"/>
  <c r="K11"/>
  <c r="J11"/>
  <c r="I11"/>
  <c r="H11"/>
  <c r="G11"/>
  <c r="F11"/>
  <c r="E11"/>
  <c r="D11"/>
  <c r="C11"/>
  <c r="Q10"/>
  <c r="P10"/>
  <c r="O10"/>
  <c r="N10"/>
  <c r="M10"/>
  <c r="L10"/>
  <c r="K10"/>
  <c r="J10"/>
  <c r="I10"/>
  <c r="H10"/>
  <c r="G10"/>
  <c r="F10"/>
  <c r="E10"/>
  <c r="D10"/>
  <c r="C10"/>
  <c r="Q9"/>
  <c r="P9"/>
  <c r="O9"/>
  <c r="N9"/>
  <c r="M9"/>
  <c r="L9"/>
  <c r="K9"/>
  <c r="J9"/>
  <c r="I9"/>
  <c r="H9"/>
  <c r="G9"/>
  <c r="F9"/>
  <c r="E9"/>
  <c r="D9"/>
  <c r="C9"/>
  <c r="Q8"/>
  <c r="P8"/>
  <c r="O8"/>
  <c r="N8"/>
  <c r="M8"/>
  <c r="L8"/>
  <c r="K8"/>
  <c r="J8"/>
  <c r="I8"/>
  <c r="H8"/>
  <c r="G8"/>
  <c r="F8"/>
  <c r="E8"/>
  <c r="D8"/>
  <c r="C8"/>
  <c r="Q7"/>
  <c r="P7"/>
  <c r="O7"/>
  <c r="N7"/>
  <c r="M7"/>
  <c r="L7"/>
  <c r="K7"/>
  <c r="J7"/>
  <c r="I7"/>
  <c r="H7"/>
  <c r="G7"/>
  <c r="F7"/>
  <c r="E7"/>
  <c r="D7"/>
  <c r="C7"/>
  <c r="Q6"/>
  <c r="P6"/>
  <c r="O6"/>
  <c r="N6"/>
  <c r="M6"/>
  <c r="L6"/>
  <c r="K6"/>
  <c r="J6"/>
  <c r="I6"/>
  <c r="H6"/>
  <c r="G6"/>
  <c r="F6"/>
  <c r="E6"/>
  <c r="D6"/>
  <c r="C6"/>
  <c r="Q5"/>
  <c r="P5"/>
  <c r="O5"/>
  <c r="N5"/>
  <c r="M5"/>
  <c r="L5"/>
  <c r="K5"/>
  <c r="J5"/>
  <c r="I5"/>
  <c r="H5"/>
  <c r="G5"/>
  <c r="F5"/>
  <c r="E5"/>
  <c r="D5"/>
  <c r="C5"/>
  <c r="Q4"/>
  <c r="P4"/>
  <c r="O4"/>
  <c r="N4"/>
  <c r="M4"/>
  <c r="L4"/>
  <c r="K4"/>
  <c r="J4"/>
  <c r="I4"/>
  <c r="H4"/>
  <c r="G4"/>
  <c r="F4"/>
  <c r="E4"/>
  <c r="D4"/>
  <c r="C4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<sst xmlns="http://schemas.openxmlformats.org/spreadsheetml/2006/main">
  <si>
    <t>Lp.</t>
  </si>
  <si>
    <t>Wyszczególnienie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</si>
  <si>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</si>
  <si>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</si>
  <si>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</si>
  <si>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</si>
  <si>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</si>
  <si>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</si>
  <si>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</si>
  <si>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</si>
  <si>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</si>
  <si>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</si>
  <si>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</si>
  <si>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</si>
  <si>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</si>
  <si>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</si>
  <si>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</si>
  <si>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</si>
  <si>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</si>
  <si>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</si>
  <si>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</si>
  <si>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</si>
  <si>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</si>
  <si>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</si>
  <si>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</si>
  <si>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</si>
  <si>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</si>
  <si>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</si>
  <si>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</si>
  <si>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</si>
  <si>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</si>
  <si>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</si>
  <si>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</si>
  <si>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</si>
  <si>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</si>
  <si>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</si>
  <si>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</si>
  <si>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</si>
  <si>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</si>
  <si>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 xml:space="preserve">pozostałe odsetki i dyskonto podlegające wyłączeniu z limitu spłaty zobowiązań, o którym mowa w art. 243 ustawy 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</si>
  <si>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</si>
  <si>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</si>
  <si>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</si>
  <si>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</si>
  <si>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</si>
  <si>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</si>
  <si>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</si>
  <si>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</si>
  <si>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</si>
  <si>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</si>
  <si>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</si>
  <si>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</si>
  <si>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</si>
  <si>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</si>
  <si>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</si>
  <si>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</si>
  <si>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</si>
  <si>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</si>
  <si>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</si>
  <si>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</si>
  <si>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</si>
  <si>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</si>
  <si>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</si>
  <si>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</si>
  <si>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</si>
  <si>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</si>
  <si>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</si>
  <si>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</si>
  <si>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</si>
  <si>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</si>
  <si>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łączna kwota przypadających na dany rok kwot ustawowych wyłączeń z limitu spłaty zobowiązań, w tym:</t>
  </si>
  <si>
    <t>5.1.1.1</t>
  </si>
  <si>
    <t>kwota przypadających na dany rok kwot wyłączeń określonych w art. 243 ust. 3 ustawy</t>
  </si>
  <si>
    <t>5.1.1.2</t>
  </si>
  <si>
    <t>kwota przypadających na dany rok kwot wyłączeń określonych w art. 243 ust. 3a ustawy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</si>
  <si>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</si>
  <si>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</si>
  <si>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</si>
  <si>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</si>
  <si>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</si>
  <si>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</si>
  <si>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</si>
  <si>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</si>
  <si>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</si>
  <si>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</si>
  <si>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</si>
  <si>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</si>
  <si>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</si>
  <si>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</si>
  <si>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</si>
  <si>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</si>
  <si>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</si>
  <si>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</si>
  <si>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</si>
  <si>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</si>
  <si>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</si>
  <si>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Różnica między dochodami bieżącymi, skorygowanymi o środki a wydatkami bieżącymi</t>
  </si>
  <si>
    <t>Wskaźnik spłaty zobowiązań</t>
  </si>
  <si>
    <t>8.1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</si>
  <si>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</t>
  </si>
  <si>
    <t>8.1_vROD_2020</t>
  </si>
  <si>
    <t>8.1_vROD_2026</t>
  </si>
  <si>
    <t>8.1_vROD_2023</t>
  </si>
  <si>
    <t>8.2</t>
  </si>
  <si>
    <t>Relacja określona po prawej stronie nierówności we wzorze, o którym mowa w art. 243 ust. 1 ustawy, ustalona dla danego roku (wskaźnik jednoroczny)</t>
  </si>
  <si>
    <t>8.2_v2020</t>
  </si>
  <si>
    <t>8.2_v2026</t>
  </si>
  <si>
    <t>8.3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</si>
  <si>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</t>
  </si>
  <si>
    <t>8.3.1</t>
  </si>
  <si>
    <t xml:space="preserve">Dopuszczalny limit spłaty zobowiązań określony po prawej stronie nierówności we wzorze, o którym mowa w art. 243 ustawy, po uwzględnieniu ustawowych wyłączeń, obliczony w oparciu o wykonanie roku poprzedzającego pierwszy rok prognozy (wskaźnik ustalony w </t>
  </si>
  <si>
    <t>8.4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</si>
  <si>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</t>
  </si>
  <si>
    <t>8.4.1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</si>
  <si>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</t>
  </si>
  <si>
    <t>art7_1</t>
  </si>
  <si>
    <t xml:space="preserve">Relacja łącznej kwoty długu do dochodów ogółem, pomniejszonych o planowane kwoty dotacji i środki o pododbnym charakterze oraz powiększone o przychody z tytułów określonych w art. 217 ust. 2 pkt 4-8, nieprzeznaczone na sfinansowanie deficytu budżetowego  </t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</si>
  <si>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</si>
  <si>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</si>
  <si>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</si>
  <si>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</si>
  <si>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</si>
  <si>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</si>
  <si>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</si>
  <si>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</si>
  <si>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</si>
  <si>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</si>
  <si>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</si>
  <si>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</si>
  <si>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</si>
  <si>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</si>
  <si>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</si>
  <si>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</si>
  <si>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</si>
  <si>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</si>
  <si>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</si>
  <si>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</si>
  <si>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</si>
  <si>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</si>
  <si>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</si>
  <si>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</si>
  <si>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</si>
  <si>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</si>
  <si>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</si>
  <si>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</si>
  <si>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</si>
  <si>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</si>
  <si>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</si>
  <si>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</si>
  <si>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</si>
  <si>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</si>
  <si>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</si>
  <si>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</si>
  <si>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</si>
  <si>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</si>
  <si>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</si>
  <si>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</si>
  <si>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</si>
  <si>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</si>
  <si>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</si>
  <si>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</si>
  <si>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</si>
  <si>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</si>
  <si>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</si>
  <si>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</si>
  <si>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</si>
  <si>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</si>
  <si>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</si>
  <si>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</si>
  <si>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</si>
  <si>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niekasowych (m.in. umorzenia, różnice kursowe)</t>
  </si>
  <si>
    <t>10.9</t>
  </si>
  <si>
    <t>Wcześniejsza spłata zobowiązań, wyłączona z limitu spłaty zobowiązań, dokonywana w formie wydatków budżetowych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</si>
  <si>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</si>
  <si>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</t>
  </si>
  <si>
    <t>10.11</t>
  </si>
  <si>
    <t>Wydatki bieżące podlegające ustawowemu wyłączeniu z limitu spłaty zobowiązań</t>
  </si>
</sst>
</file>

<file path=xl/styles.xml><?xml version="1.0" encoding="utf-8"?>
<styleSheet xmlns="http://schemas.openxmlformats.org/spreadsheetml/2006/main">
  <numFmts count="1">
    <numFmt numFmtId="164" formatCode="#,##0.00_ ;[Red]-#,##0.00 "/>
  </numFmts>
  <fonts count="7">
    <font>
      <sz val="10"/>
      <color theme="1"/>
      <name val="Arial"/>
      <family val="2"/>
    </font>
    <font>
      <b/>
      <sz val="11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none">
        <fgColor indexed="64"/>
        <bgColor indexed="65"/>
      </patternFill>
    </fill>
  </fills>
  <borders count="14">
    <border/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hair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hair">
        <color indexed="64"/>
      </right>
      <top>
        <color indexed="0"/>
      </top>
      <bottom style="hair">
        <color indexed="64"/>
      </bottom>
      <diagonal>
        <color indexed="0"/>
      </diagonal>
    </border>
    <border>
      <left style="hair">
        <color indexed="64"/>
      </left>
      <right style="thin">
        <color indexed="64"/>
      </right>
      <top>
        <color indexed="0"/>
      </top>
      <bottom style="hair">
        <color indexed="64"/>
      </bottom>
      <diagonal>
        <color indexed="64"/>
      </diagonal>
    </border>
    <border>
      <left>
        <color indexed="0"/>
      </left>
      <right style="hair">
        <color indexed="64"/>
      </right>
      <top>
        <color indexed="0"/>
      </top>
      <bottom style="hair">
        <color indexed="64"/>
      </bottom>
      <diagonal>
        <color indexed="0"/>
      </diagonal>
    </border>
    <border>
      <left style="hair">
        <color indexed="64"/>
      </left>
      <right style="hair">
        <color indexed="64"/>
      </right>
      <top>
        <color indexed="0"/>
      </top>
      <bottom style="hair">
        <color indexed="64"/>
      </bottom>
      <diagonal>
        <color indexed="0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>
        <color indexed="0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>
        <color indexed="64"/>
      </diagonal>
    </border>
    <border>
      <left>
        <color indexed="0"/>
      </left>
      <right style="hair">
        <color indexed="64"/>
      </right>
      <top style="hair">
        <color indexed="64"/>
      </top>
      <bottom style="hair">
        <color indexed="64"/>
      </bottom>
      <diagonal>
        <color indexed="0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</borders>
  <cellStyleXfs count="8">
    <xf numFmtId="0" fontId="0" fillId="0" borderId="0"/>
    <xf numFmtId="0" fontId="6" fillId="4" borderId="13"/>
    <xf numFmtId="0" fontId="6" fillId="4" borderId="13"/>
    <xf numFmtId="0" fontId="6" fillId="4" borderId="13"/>
    <xf numFmtId="0" fontId="6" fillId="4" borderId="13"/>
    <xf numFmtId="0" fontId="6" fillId="4" borderId="13"/>
    <xf numFmtId="0" fontId="6" fillId="4" borderId="13"/>
    <xf numFmtId="0" fontId="6" fillId="4" borderId="13"/>
  </cellStyleXfs>
  <cellXfs count="43">
    <xf numFmtId="0" fontId="0" fillId="0" borderId="0" xfId="0"/>
    <xf numFmtId="0" fontId="0" fillId="0" borderId="0" xfId="0" applyAlignment="1"/>
    <xf numFmtId="49" fontId="1" fillId="2" borderId="1" xfId="1" applyNumberFormat="1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vertical="center"/>
    </xf>
    <xf numFmtId="1" fontId="1" fillId="2" borderId="3" xfId="1" applyNumberFormat="1" applyFont="1" applyFill="1" applyBorder="1" applyAlignment="1">
      <alignment horizontal="center" vertical="center" wrapText="1"/>
    </xf>
    <xf numFmtId="1" fontId="1" fillId="2" borderId="4" xfId="1" applyNumberFormat="1" applyFont="1" applyFill="1" applyBorder="1" applyAlignment="1">
      <alignment horizontal="center" vertical="center" wrapText="1"/>
    </xf>
    <xf numFmtId="1" fontId="1" fillId="2" borderId="2" xfId="1" applyNumberFormat="1" applyFont="1" applyFill="1" applyBorder="1" applyAlignment="1">
      <alignment horizontal="center" vertical="center" wrapText="1"/>
    </xf>
    <xf numFmtId="1" fontId="1" fillId="2" borderId="3" xfId="1" applyNumberFormat="1" applyFont="1" applyFill="1" applyBorder="1" applyAlignment="1">
      <alignment horizontal="center" vertical="center"/>
    </xf>
    <xf numFmtId="1" fontId="1" fillId="2" borderId="4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164" fontId="3" fillId="3" borderId="7" xfId="1" applyNumberFormat="1" applyFont="1" applyFill="1" applyBorder="1" applyAlignment="1">
      <alignment vertical="center" shrinkToFit="1"/>
    </xf>
    <xf numFmtId="164" fontId="3" fillId="3" borderId="8" xfId="1" applyNumberFormat="1" applyFont="1" applyFill="1" applyBorder="1" applyAlignment="1">
      <alignment vertical="center" shrinkToFit="1"/>
    </xf>
    <xf numFmtId="164" fontId="3" fillId="3" borderId="6" xfId="1" applyNumberFormat="1" applyFont="1" applyFill="1" applyBorder="1" applyAlignment="1">
      <alignment vertical="center" shrinkToFit="1"/>
    </xf>
    <xf numFmtId="164" fontId="3" fillId="4" borderId="7" xfId="1" applyNumberFormat="1" applyFont="1" applyBorder="1" applyAlignment="1">
      <alignment vertical="center" shrinkToFit="1"/>
    </xf>
    <xf numFmtId="164" fontId="3" fillId="4" borderId="8" xfId="1" applyNumberFormat="1" applyFont="1" applyBorder="1" applyAlignment="1">
      <alignment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164" fontId="5" fillId="3" borderId="11" xfId="1" applyNumberFormat="1" applyFont="1" applyFill="1" applyBorder="1" applyAlignment="1">
      <alignment vertical="center" shrinkToFit="1"/>
    </xf>
    <xf numFmtId="164" fontId="5" fillId="3" borderId="12" xfId="1" applyNumberFormat="1" applyFont="1" applyFill="1" applyBorder="1" applyAlignment="1">
      <alignment vertical="center" shrinkToFit="1"/>
    </xf>
    <xf numFmtId="164" fontId="5" fillId="3" borderId="10" xfId="1" applyNumberFormat="1" applyFont="1" applyFill="1" applyBorder="1" applyAlignment="1">
      <alignment vertical="center" shrinkToFit="1"/>
    </xf>
    <xf numFmtId="164" fontId="5" fillId="4" borderId="11" xfId="1" applyNumberFormat="1" applyFont="1" applyBorder="1" applyAlignment="1">
      <alignment vertical="center" shrinkToFit="1"/>
    </xf>
    <xf numFmtId="164" fontId="5" fillId="4" borderId="12" xfId="1" applyNumberFormat="1" applyFont="1" applyBorder="1" applyAlignment="1">
      <alignment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164" fontId="3" fillId="3" borderId="11" xfId="1" applyNumberFormat="1" applyFont="1" applyFill="1" applyBorder="1" applyAlignment="1">
      <alignment vertical="center" shrinkToFit="1"/>
    </xf>
    <xf numFmtId="164" fontId="3" fillId="3" borderId="12" xfId="1" applyNumberFormat="1" applyFont="1" applyFill="1" applyBorder="1" applyAlignment="1">
      <alignment vertical="center" shrinkToFit="1"/>
    </xf>
    <xf numFmtId="164" fontId="3" fillId="3" borderId="10" xfId="1" applyNumberFormat="1" applyFont="1" applyFill="1" applyBorder="1" applyAlignment="1">
      <alignment vertical="center" shrinkToFit="1"/>
    </xf>
    <xf numFmtId="164" fontId="3" fillId="4" borderId="11" xfId="1" applyNumberFormat="1" applyFont="1" applyBorder="1" applyAlignment="1">
      <alignment vertical="center" shrinkToFit="1"/>
    </xf>
    <xf numFmtId="164" fontId="3" fillId="4" borderId="12" xfId="1" applyNumberFormat="1" applyFont="1" applyBorder="1" applyAlignment="1">
      <alignment vertical="center" shrinkToFit="1"/>
    </xf>
    <xf numFmtId="164" fontId="3" fillId="3" borderId="11" xfId="1" applyNumberFormat="1" applyFont="1" applyFill="1" applyBorder="1" applyAlignment="1">
      <alignment horizontal="center" vertical="center" shrinkToFit="1"/>
    </xf>
    <xf numFmtId="164" fontId="3" fillId="3" borderId="12" xfId="1" applyNumberFormat="1" applyFont="1" applyFill="1" applyBorder="1" applyAlignment="1">
      <alignment horizontal="center" vertical="center" shrinkToFit="1"/>
    </xf>
    <xf numFmtId="164" fontId="3" fillId="3" borderId="10" xfId="1" applyNumberFormat="1" applyFont="1" applyFill="1" applyBorder="1" applyAlignment="1">
      <alignment horizontal="center" vertical="center" shrinkToFit="1"/>
    </xf>
    <xf numFmtId="164" fontId="3" fillId="4" borderId="11" xfId="1" applyNumberFormat="1" applyFont="1" applyBorder="1" applyAlignment="1">
      <alignment horizontal="center" vertical="center" shrinkToFit="1"/>
    </xf>
    <xf numFmtId="164" fontId="3" fillId="4" borderId="12" xfId="1" applyNumberFormat="1" applyFont="1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10" fontId="5" fillId="4" borderId="11" xfId="1" applyNumberFormat="1" applyFont="1" applyBorder="1" applyAlignment="1">
      <alignment vertical="center" shrinkToFit="1"/>
    </xf>
    <xf numFmtId="10" fontId="5" fillId="4" borderId="12" xfId="1" applyNumberFormat="1" applyFont="1" applyBorder="1" applyAlignment="1">
      <alignment vertical="center" shrinkToFit="1"/>
    </xf>
    <xf numFmtId="10" fontId="5" fillId="3" borderId="11" xfId="1" applyNumberFormat="1" applyFont="1" applyFill="1" applyBorder="1" applyAlignment="1">
      <alignment vertical="center" shrinkToFit="1"/>
    </xf>
    <xf numFmtId="10" fontId="5" fillId="3" borderId="12" xfId="1" applyNumberFormat="1" applyFont="1" applyFill="1" applyBorder="1" applyAlignment="1">
      <alignment vertical="center" shrinkToFit="1"/>
    </xf>
    <xf numFmtId="10" fontId="5" fillId="3" borderId="10" xfId="1" applyNumberFormat="1" applyFont="1" applyFill="1" applyBorder="1" applyAlignment="1">
      <alignment vertical="center" shrinkToFit="1"/>
    </xf>
    <xf numFmtId="164" fontId="5" fillId="4" borderId="12" xfId="1" applyNumberFormat="1" applyFont="1" applyBorder="1" applyAlignment="1">
      <alignment horizontal="center" vertical="center" shrinkToFit="1"/>
    </xf>
  </cellXfs>
  <cellStyles count="8">
    <cellStyle name="Normal" xfId="0" builtinId="0"/>
    <cellStyle name="Normalny 6 2 7" xfId="1"/>
    <cellStyle name="Normalny 6 2 6" xfId="2"/>
    <cellStyle name="Normalny 6 2 5" xfId="3"/>
    <cellStyle name="Normalny 6 2 4" xfId="4"/>
    <cellStyle name="Normalny 6 2 3" xfId="5"/>
    <cellStyle name="Normalny 6 2 2" xfId="6"/>
    <cellStyle name="Normalny 6 2" xfId="7"/>
  </cellStyles>
  <dxfs count="1">
    <dxf>
      <font>
        <b/>
        <i val="0"/>
        <color rgb="FFFF0000"/>
        <family val="0"/>
        <charset val="0"/>
      </font>
      <fill>
        <patternFill>
          <bgColor rgb="FFFFFF00"/>
        </patternFill>
      </fill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C1">
      <selection activeCell="S32" sqref="S32"/>
    </sheetView>
  </sheetViews>
  <sheetFormatPr defaultRowHeight="12.6"/>
  <cols>
    <col min="1" max="1" width="6.29" customWidth="1"/>
    <col min="2" max="2" width="49.57" style="1" customWidth="1"/>
    <col min="3" max="3" width="11.71" customWidth="1"/>
    <col min="4" max="4" width="11.86" customWidth="1"/>
    <col min="5" max="5" width="11.71" customWidth="1"/>
    <col min="6" max="6" width="12" customWidth="1"/>
    <col min="7" max="7" width="11.71" customWidth="1"/>
    <col min="8" max="8" width="12" customWidth="1"/>
    <col min="9" max="9" width="13.29" customWidth="1"/>
    <col min="10" max="10" width="12.14" customWidth="1"/>
    <col min="11" max="11" width="12" customWidth="1"/>
    <col min="12" max="12" width="11.86" customWidth="1"/>
    <col min="13" max="13" width="11.86" customWidth="1"/>
    <col min="14" max="14" width="11.86" customWidth="1"/>
    <col min="15" max="15" width="12" customWidth="1"/>
    <col min="16" max="16" width="12.14" customWidth="1"/>
    <col min="17" max="17" width="12" customWidth="1"/>
  </cols>
  <sheetData>
    <row r="1"/>
    <row r="2">
      <c r="A2" s="2" t="s">
        <v>0</v>
      </c>
      <c r="B2" s="3" t="s">
        <v>1</v>
      </c>
      <c r="C2" s="4">
        <f>+D2-1</f>
        <v>2019</v>
      </c>
      <c r="D2" s="4">
        <f>+E2-1</f>
        <v>2020</v>
      </c>
      <c r="E2" s="4">
        <f>+F2-1</f>
        <v>2021</v>
      </c>
      <c r="F2" s="4">
        <f>+G2-1</f>
        <v>2022</v>
      </c>
      <c r="G2" s="4">
        <f>+H2-1</f>
        <v>2023</v>
      </c>
      <c r="H2" s="5">
        <f>+I2-1</f>
        <v>2024</v>
      </c>
      <c r="I2" s="5">
        <f>+J2</f>
        <v>2025</v>
      </c>
      <c r="J2" s="6">
        <f>+K2-1</f>
        <v>2025</v>
      </c>
      <c r="K2" s="7">
        <v>2026</v>
      </c>
      <c r="L2" s="8">
        <f>+K2+1</f>
        <v>2027</v>
      </c>
      <c r="M2" s="8">
        <f>+L2+1</f>
        <v>2028</v>
      </c>
      <c r="N2" s="8">
        <f>+M2+1</f>
        <v>2029</v>
      </c>
      <c r="O2" s="8">
        <f>+N2+1</f>
        <v>2030</v>
      </c>
      <c r="P2" s="8">
        <f>+O2+1</f>
        <v>2031</v>
      </c>
      <c r="Q2" s="8">
        <f>+P2+1</f>
        <v>2032</v>
      </c>
    </row>
    <row r="3">
      <c r="A3" s="9">
        <v>1</v>
      </c>
      <c r="B3" s="10" t="s">
        <v>2</v>
      </c>
      <c r="C3" s="11">
        <f>30453722.89</f>
        <v>30453722.890000001</v>
      </c>
      <c r="D3" s="11">
        <f>31321648.35</f>
        <v>31321648.350000001</v>
      </c>
      <c r="E3" s="11">
        <f>38925405.57</f>
        <v>38925405.57</v>
      </c>
      <c r="F3" s="11">
        <f>39516296.62</f>
        <v>39516296.619999997</v>
      </c>
      <c r="G3" s="11">
        <f>36373036.62</f>
        <v>36373036.619999997</v>
      </c>
      <c r="H3" s="12">
        <f>50018714.26</f>
        <v>50018714.259999998</v>
      </c>
      <c r="I3" s="12">
        <f>48030254.56</f>
        <v>48030254.560000002</v>
      </c>
      <c r="J3" s="13">
        <f>49429524.33</f>
        <v>49429524.329999998</v>
      </c>
      <c r="K3" s="14">
        <f>43105780.99</f>
        <v>43105780.990000002</v>
      </c>
      <c r="L3" s="15">
        <f>35924400</f>
        <v>35924400</v>
      </c>
      <c r="M3" s="15">
        <f>36157000</f>
        <v>36157000</v>
      </c>
      <c r="N3" s="15">
        <f>36443887</f>
        <v>36443887</v>
      </c>
      <c r="O3" s="15">
        <f>39680000</f>
        <v>39680000</v>
      </c>
      <c r="P3" s="15">
        <f>40430000</f>
        <v>40430000</v>
      </c>
      <c r="Q3" s="15">
        <f>41050000</f>
        <v>41050000</v>
      </c>
    </row>
    <row r="4">
      <c r="A4" s="16" t="s">
        <v>3</v>
      </c>
      <c r="B4" s="17" t="s">
        <v>4</v>
      </c>
      <c r="C4" s="18">
        <f>28021140.2</f>
        <v>28021140.199999999</v>
      </c>
      <c r="D4" s="18">
        <f>29714456.66</f>
        <v>29714456.66</v>
      </c>
      <c r="E4" s="18">
        <f>31581018.25</f>
        <v>31581018.25</v>
      </c>
      <c r="F4" s="18">
        <f>37903422.35</f>
        <v>37903422.350000001</v>
      </c>
      <c r="G4" s="18">
        <f>31600771.73</f>
        <v>31600771.73</v>
      </c>
      <c r="H4" s="19">
        <f>34942136.1</f>
        <v>34942136.100000001</v>
      </c>
      <c r="I4" s="19">
        <f>37138514.54</f>
        <v>37138514.539999999</v>
      </c>
      <c r="J4" s="20">
        <f>38532084.31</f>
        <v>38532084.310000002</v>
      </c>
      <c r="K4" s="21">
        <f>37422741</f>
        <v>37422741</v>
      </c>
      <c r="L4" s="22">
        <f>35924400</f>
        <v>35924400</v>
      </c>
      <c r="M4" s="22">
        <f>36157000</f>
        <v>36157000</v>
      </c>
      <c r="N4" s="22">
        <f>36443887</f>
        <v>36443887</v>
      </c>
      <c r="O4" s="22">
        <f>39680000</f>
        <v>39680000</v>
      </c>
      <c r="P4" s="22">
        <f>40430000</f>
        <v>40430000</v>
      </c>
      <c r="Q4" s="22">
        <f>41050000</f>
        <v>41050000</v>
      </c>
    </row>
    <row r="5">
      <c r="A5" s="16" t="s">
        <v>5</v>
      </c>
      <c r="B5" s="17" t="s">
        <v>6</v>
      </c>
      <c r="C5" s="18">
        <f>2576084</f>
        <v>2576084</v>
      </c>
      <c r="D5" s="18">
        <f>2397640</f>
        <v>2397640</v>
      </c>
      <c r="E5" s="18">
        <f>2864455</f>
        <v>2864455</v>
      </c>
      <c r="F5" s="18">
        <f>5289514.57</f>
        <v>5289514.5700000003</v>
      </c>
      <c r="G5" s="18">
        <f>2316523</f>
        <v>2316523</v>
      </c>
      <c r="H5" s="19">
        <f>3534426</f>
        <v>3534426</v>
      </c>
      <c r="I5" s="19">
        <f>11643708.12</f>
        <v>11643708.119999999</v>
      </c>
      <c r="J5" s="20">
        <f>11643708.12</f>
        <v>11643708.119999999</v>
      </c>
      <c r="K5" s="21">
        <f>12388723</f>
        <v>12388723</v>
      </c>
      <c r="L5" s="22">
        <f>13260000</f>
        <v>13260000</v>
      </c>
      <c r="M5" s="22">
        <f>17443708</f>
        <v>17443708</v>
      </c>
      <c r="N5" s="22">
        <f>17443000</f>
        <v>17443000</v>
      </c>
      <c r="O5" s="22">
        <f>0</f>
        <v>0</v>
      </c>
      <c r="P5" s="22">
        <f>0</f>
        <v>0</v>
      </c>
      <c r="Q5" s="22">
        <f>0</f>
        <v>0</v>
      </c>
    </row>
    <row r="6">
      <c r="A6" s="16" t="s">
        <v>7</v>
      </c>
      <c r="B6" s="17" t="s">
        <v>8</v>
      </c>
      <c r="C6" s="18">
        <f>25094.76</f>
        <v>25094.759999999998</v>
      </c>
      <c r="D6" s="18">
        <f>6219.05</f>
        <v>6219.0500000000002</v>
      </c>
      <c r="E6" s="18">
        <f>17421.75</f>
        <v>17421.75</v>
      </c>
      <c r="F6" s="18">
        <f>19249</f>
        <v>19249</v>
      </c>
      <c r="G6" s="18">
        <f>27118</f>
        <v>27118</v>
      </c>
      <c r="H6" s="19">
        <f>33770</f>
        <v>33770</v>
      </c>
      <c r="I6" s="19">
        <f>28432.42</f>
        <v>28432.419999999998</v>
      </c>
      <c r="J6" s="20">
        <f>28432.42</f>
        <v>28432.419999999998</v>
      </c>
      <c r="K6" s="21">
        <f>63207</f>
        <v>63207</v>
      </c>
      <c r="L6" s="22">
        <f>28000</f>
        <v>28000</v>
      </c>
      <c r="M6" s="22">
        <f>28000</f>
        <v>28000</v>
      </c>
      <c r="N6" s="22">
        <f>30000</f>
        <v>30000</v>
      </c>
      <c r="O6" s="22">
        <f>0</f>
        <v>0</v>
      </c>
      <c r="P6" s="22">
        <f>0</f>
        <v>0</v>
      </c>
      <c r="Q6" s="22">
        <f>0</f>
        <v>0</v>
      </c>
    </row>
    <row r="7">
      <c r="A7" s="16" t="s">
        <v>9</v>
      </c>
      <c r="B7" s="17" t="s">
        <v>10</v>
      </c>
      <c r="C7" s="18">
        <f>12002645</f>
        <v>12002645</v>
      </c>
      <c r="D7" s="18">
        <f>12665612</f>
        <v>12665612</v>
      </c>
      <c r="E7" s="18">
        <f>13676287</f>
        <v>13676287</v>
      </c>
      <c r="F7" s="18">
        <f>13354794</f>
        <v>13354794</v>
      </c>
      <c r="G7" s="18">
        <f>16370371.5</f>
        <v>16370371.5</v>
      </c>
      <c r="H7" s="19">
        <f>18022696</f>
        <v>18022696</v>
      </c>
      <c r="I7" s="19">
        <f>13890832.46</f>
        <v>13890832.460000001</v>
      </c>
      <c r="J7" s="20">
        <f>13890832.46</f>
        <v>13890832.460000001</v>
      </c>
      <c r="K7" s="21">
        <f>15101841</f>
        <v>15101841</v>
      </c>
      <c r="L7" s="22">
        <f>16500000</f>
        <v>16500000</v>
      </c>
      <c r="M7" s="22">
        <f>13685292</f>
        <v>13685292</v>
      </c>
      <c r="N7" s="22">
        <f>13685000</f>
        <v>13685000</v>
      </c>
      <c r="O7" s="22">
        <f>0</f>
        <v>0</v>
      </c>
      <c r="P7" s="22">
        <f>0</f>
        <v>0</v>
      </c>
      <c r="Q7" s="22">
        <f>0</f>
        <v>0</v>
      </c>
    </row>
    <row r="8">
      <c r="A8" s="16" t="s">
        <v>11</v>
      </c>
      <c r="B8" s="17" t="s">
        <v>12</v>
      </c>
      <c r="C8" s="18">
        <f>10049994.93</f>
        <v>10049994.93</v>
      </c>
      <c r="D8" s="18">
        <f>11234567.25</f>
        <v>11234567.25</v>
      </c>
      <c r="E8" s="18">
        <f>11055742.86</f>
        <v>11055742.859999999</v>
      </c>
      <c r="F8" s="18">
        <f>14523094.51</f>
        <v>14523094.51</v>
      </c>
      <c r="G8" s="18">
        <f>7059719.38</f>
        <v>7059719.3799999999</v>
      </c>
      <c r="H8" s="19">
        <f>7886692.01</f>
        <v>7886692.0099999998</v>
      </c>
      <c r="I8" s="19">
        <f>5513150.29</f>
        <v>5513150.29</v>
      </c>
      <c r="J8" s="20">
        <f>6879760.06</f>
        <v>6879760.0599999996</v>
      </c>
      <c r="K8" s="21">
        <f>4058944.51</f>
        <v>4058944.5099999998</v>
      </c>
      <c r="L8" s="22">
        <f>4000000</f>
        <v>4000000</v>
      </c>
      <c r="M8" s="22">
        <f>4000000</f>
        <v>4000000</v>
      </c>
      <c r="N8" s="22">
        <f>4000000</f>
        <v>4000000</v>
      </c>
      <c r="O8" s="22">
        <f>0</f>
        <v>0</v>
      </c>
      <c r="P8" s="22">
        <f>0</f>
        <v>0</v>
      </c>
      <c r="Q8" s="22">
        <f>0</f>
        <v>0</v>
      </c>
    </row>
    <row r="9">
      <c r="A9" s="16" t="s">
        <v>13</v>
      </c>
      <c r="B9" s="17" t="s">
        <v>14</v>
      </c>
      <c r="C9" s="18">
        <f>3367321.51</f>
        <v>3367321.5099999998</v>
      </c>
      <c r="D9" s="18">
        <f>3410418.36</f>
        <v>3410418.3599999999</v>
      </c>
      <c r="E9" s="18">
        <f>3967111.64</f>
        <v>3967111.6400000001</v>
      </c>
      <c r="F9" s="18">
        <f>4716770.27</f>
        <v>4716770.2699999996</v>
      </c>
      <c r="G9" s="18">
        <f>5827039.85</f>
        <v>5827039.8499999996</v>
      </c>
      <c r="H9" s="19">
        <f>5464552.09</f>
        <v>5464552.0899999999</v>
      </c>
      <c r="I9" s="19">
        <f>6062391.25</f>
        <v>6062391.25</v>
      </c>
      <c r="J9" s="20">
        <f>6089351.25</f>
        <v>6089351.25</v>
      </c>
      <c r="K9" s="21">
        <f>5810025.49</f>
        <v>5810025.4900000002</v>
      </c>
      <c r="L9" s="22">
        <f>2136400</f>
        <v>2136400</v>
      </c>
      <c r="M9" s="22">
        <f>1000000</f>
        <v>1000000</v>
      </c>
      <c r="N9" s="22">
        <f>1285887</f>
        <v>1285887</v>
      </c>
      <c r="O9" s="22">
        <f>0</f>
        <v>0</v>
      </c>
      <c r="P9" s="22">
        <f>0</f>
        <v>0</v>
      </c>
      <c r="Q9" s="22">
        <f>0</f>
        <v>0</v>
      </c>
    </row>
    <row r="10">
      <c r="A10" s="16" t="s">
        <v>15</v>
      </c>
      <c r="B10" s="17" t="s">
        <v>16</v>
      </c>
      <c r="C10" s="18">
        <f>882438.97</f>
        <v>882438.96999999997</v>
      </c>
      <c r="D10" s="18">
        <f>1003440.82</f>
        <v>1003440.8199999999</v>
      </c>
      <c r="E10" s="18">
        <f>1026102.79</f>
        <v>1026102.79</v>
      </c>
      <c r="F10" s="18">
        <f>1050632.23</f>
        <v>1050632.23</v>
      </c>
      <c r="G10" s="18">
        <f>1140621.47</f>
        <v>1140621.47</v>
      </c>
      <c r="H10" s="19">
        <f>1253183.69</f>
        <v>1253183.6899999999</v>
      </c>
      <c r="I10" s="19">
        <f>1680839</f>
        <v>1680839</v>
      </c>
      <c r="J10" s="20">
        <f>1680839</f>
        <v>1680839</v>
      </c>
      <c r="K10" s="21">
        <f>1354307</f>
        <v>1354307</v>
      </c>
      <c r="L10" s="22">
        <f>1126108.77</f>
        <v>1126108.77</v>
      </c>
      <c r="M10" s="22">
        <f>1000000</f>
        <v>1000000</v>
      </c>
      <c r="N10" s="22">
        <f>1285887</f>
        <v>1285887</v>
      </c>
      <c r="O10" s="22">
        <f>0</f>
        <v>0</v>
      </c>
      <c r="P10" s="22">
        <f>0</f>
        <v>0</v>
      </c>
      <c r="Q10" s="22">
        <f>0</f>
        <v>0</v>
      </c>
    </row>
    <row r="11">
      <c r="A11" s="16" t="s">
        <v>17</v>
      </c>
      <c r="B11" s="17" t="s">
        <v>18</v>
      </c>
      <c r="C11" s="18">
        <f>2432582.69</f>
        <v>2432582.6899999999</v>
      </c>
      <c r="D11" s="18">
        <f>1607191.69</f>
        <v>1607191.6899999999</v>
      </c>
      <c r="E11" s="18">
        <f>7344387.32</f>
        <v>7344387.3200000003</v>
      </c>
      <c r="F11" s="18">
        <f>1612874.27</f>
        <v>1612874.27</v>
      </c>
      <c r="G11" s="18">
        <f>4772264.89</f>
        <v>4772264.8899999997</v>
      </c>
      <c r="H11" s="19">
        <f>15076578.16</f>
        <v>15076578.16</v>
      </c>
      <c r="I11" s="19">
        <f>10891740.02</f>
        <v>10891740.02</v>
      </c>
      <c r="J11" s="20">
        <f>10897440.02</f>
        <v>10897440.02</v>
      </c>
      <c r="K11" s="21">
        <f>5683039.99</f>
        <v>5683039.9900000002</v>
      </c>
      <c r="L11" s="22">
        <f>0</f>
        <v>0</v>
      </c>
      <c r="M11" s="22">
        <f>0</f>
        <v>0</v>
      </c>
      <c r="N11" s="22">
        <f>0</f>
        <v>0</v>
      </c>
      <c r="O11" s="22">
        <f>0</f>
        <v>0</v>
      </c>
      <c r="P11" s="22">
        <f>0</f>
        <v>0</v>
      </c>
      <c r="Q11" s="22">
        <f>0</f>
        <v>0</v>
      </c>
    </row>
    <row r="12">
      <c r="A12" s="16" t="s">
        <v>19</v>
      </c>
      <c r="B12" s="17" t="s">
        <v>20</v>
      </c>
      <c r="C12" s="18">
        <f>0</f>
        <v>0</v>
      </c>
      <c r="D12" s="18">
        <f>0</f>
        <v>0</v>
      </c>
      <c r="E12" s="18">
        <f>44240</f>
        <v>44240</v>
      </c>
      <c r="F12" s="18">
        <f>0</f>
        <v>0</v>
      </c>
      <c r="G12" s="18">
        <f>0</f>
        <v>0</v>
      </c>
      <c r="H12" s="19">
        <f>0</f>
        <v>0</v>
      </c>
      <c r="I12" s="19">
        <f>0</f>
        <v>0</v>
      </c>
      <c r="J12" s="20">
        <f>0</f>
        <v>0</v>
      </c>
      <c r="K12" s="21">
        <f>0</f>
        <v>0</v>
      </c>
      <c r="L12" s="22">
        <f>0</f>
        <v>0</v>
      </c>
      <c r="M12" s="22">
        <f>0</f>
        <v>0</v>
      </c>
      <c r="N12" s="22">
        <f>0</f>
        <v>0</v>
      </c>
      <c r="O12" s="22">
        <f>0</f>
        <v>0</v>
      </c>
      <c r="P12" s="22">
        <f>0</f>
        <v>0</v>
      </c>
      <c r="Q12" s="22">
        <f>0</f>
        <v>0</v>
      </c>
    </row>
    <row r="13">
      <c r="A13" s="16" t="s">
        <v>21</v>
      </c>
      <c r="B13" s="17" t="s">
        <v>22</v>
      </c>
      <c r="C13" s="18">
        <f>2432582.69</f>
        <v>2432582.6899999999</v>
      </c>
      <c r="D13" s="18">
        <f>1607191.69</f>
        <v>1607191.6899999999</v>
      </c>
      <c r="E13" s="18">
        <f>7300147.32</f>
        <v>7300147.3200000003</v>
      </c>
      <c r="F13" s="18">
        <f>1612874.27</f>
        <v>1612874.27</v>
      </c>
      <c r="G13" s="18">
        <f>4772264.89</f>
        <v>4772264.8899999997</v>
      </c>
      <c r="H13" s="19">
        <f>15047418.16</f>
        <v>15047418.16</v>
      </c>
      <c r="I13" s="19">
        <f>10891740.02</f>
        <v>10891740.02</v>
      </c>
      <c r="J13" s="20">
        <f>10897440.02</f>
        <v>10897440.02</v>
      </c>
      <c r="K13" s="21">
        <f>5683039.99</f>
        <v>5683039.9900000002</v>
      </c>
      <c r="L13" s="22">
        <f>0</f>
        <v>0</v>
      </c>
      <c r="M13" s="22">
        <f>0</f>
        <v>0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>
      <c r="A14" s="23">
        <v>2</v>
      </c>
      <c r="B14" s="24" t="s">
        <v>23</v>
      </c>
      <c r="C14" s="25">
        <f>30703192.52</f>
        <v>30703192.52</v>
      </c>
      <c r="D14" s="25">
        <f>29642237.42</f>
        <v>29642237.420000002</v>
      </c>
      <c r="E14" s="25">
        <f>32863035.2</f>
        <v>32863035.199999999</v>
      </c>
      <c r="F14" s="25">
        <f>43576175.11</f>
        <v>43576175.109999999</v>
      </c>
      <c r="G14" s="25">
        <f>40372648</f>
        <v>40372648</v>
      </c>
      <c r="H14" s="26">
        <f>45135975.53</f>
        <v>45135975.530000001</v>
      </c>
      <c r="I14" s="26">
        <f>54321352.13</f>
        <v>54321352.130000003</v>
      </c>
      <c r="J14" s="27">
        <f>55720621.9</f>
        <v>55720621.899999999</v>
      </c>
      <c r="K14" s="28">
        <f>44105780.99</f>
        <v>44105780.990000002</v>
      </c>
      <c r="L14" s="29">
        <f>34954400</f>
        <v>34954400</v>
      </c>
      <c r="M14" s="29">
        <f>34947000</f>
        <v>34947000</v>
      </c>
      <c r="N14" s="29">
        <f>35243887</f>
        <v>35243887</v>
      </c>
      <c r="O14" s="29">
        <f>38680000</f>
        <v>38680000</v>
      </c>
      <c r="P14" s="29">
        <f>39270050</f>
        <v>39270050</v>
      </c>
      <c r="Q14" s="29">
        <f>40000000</f>
        <v>40000000</v>
      </c>
    </row>
    <row r="15">
      <c r="A15" s="16" t="s">
        <v>24</v>
      </c>
      <c r="B15" s="17" t="s">
        <v>25</v>
      </c>
      <c r="C15" s="18">
        <f>26181072.59</f>
        <v>26181072.59</v>
      </c>
      <c r="D15" s="18">
        <f>27072147.96</f>
        <v>27072147.960000001</v>
      </c>
      <c r="E15" s="18">
        <f>29106952.09</f>
        <v>29106952.09</v>
      </c>
      <c r="F15" s="18">
        <f>35298034.12</f>
        <v>35298034.119999997</v>
      </c>
      <c r="G15" s="18">
        <f>31238217.7</f>
        <v>31238217.699999999</v>
      </c>
      <c r="H15" s="19">
        <f>34706886.73</f>
        <v>34706886.729999997</v>
      </c>
      <c r="I15" s="19">
        <f>35953171.97</f>
        <v>35953171.969999999</v>
      </c>
      <c r="J15" s="20">
        <f>38368918.1</f>
        <v>38368918.100000001</v>
      </c>
      <c r="K15" s="21">
        <f>35931161.79</f>
        <v>35931161.789999999</v>
      </c>
      <c r="L15" s="22">
        <f>34954400</f>
        <v>34954400</v>
      </c>
      <c r="M15" s="22">
        <f>34947000</f>
        <v>34947000</v>
      </c>
      <c r="N15" s="22">
        <f>35243887</f>
        <v>35243887</v>
      </c>
      <c r="O15" s="22">
        <f>38680000</f>
        <v>38680000</v>
      </c>
      <c r="P15" s="22">
        <f>39270050</f>
        <v>39270050</v>
      </c>
      <c r="Q15" s="22">
        <f>40000000</f>
        <v>40000000</v>
      </c>
    </row>
    <row r="16">
      <c r="A16" s="16" t="s">
        <v>26</v>
      </c>
      <c r="B16" s="17" t="s">
        <v>27</v>
      </c>
      <c r="C16" s="18">
        <f>11268573.55</f>
        <v>11268573.550000001</v>
      </c>
      <c r="D16" s="18">
        <f>11801384.92</f>
        <v>11801384.92</v>
      </c>
      <c r="E16" s="18">
        <f>12608695.27</f>
        <v>12608695.27</v>
      </c>
      <c r="F16" s="18">
        <f>13861100.14</f>
        <v>13861100.140000001</v>
      </c>
      <c r="G16" s="18">
        <f>15291781.57</f>
        <v>15291781.57</v>
      </c>
      <c r="H16" s="19">
        <f>18336900.87</f>
        <v>18336900.870000001</v>
      </c>
      <c r="I16" s="19">
        <f>21067025.41</f>
        <v>21067025.41</v>
      </c>
      <c r="J16" s="20">
        <f>21610107.96</f>
        <v>21610107.960000001</v>
      </c>
      <c r="K16" s="21">
        <f>21630075.15</f>
        <v>21630075.149999999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>
      <c r="A17" s="16" t="s">
        <v>28</v>
      </c>
      <c r="B17" s="17" t="s">
        <v>29</v>
      </c>
      <c r="C17" s="18">
        <f>0</f>
        <v>0</v>
      </c>
      <c r="D17" s="18">
        <f>0</f>
        <v>0</v>
      </c>
      <c r="E17" s="18">
        <f>0</f>
        <v>0</v>
      </c>
      <c r="F17" s="18">
        <f>0</f>
        <v>0</v>
      </c>
      <c r="G17" s="18">
        <f>0</f>
        <v>0</v>
      </c>
      <c r="H17" s="19">
        <f>0</f>
        <v>0</v>
      </c>
      <c r="I17" s="19">
        <f>0</f>
        <v>0</v>
      </c>
      <c r="J17" s="20">
        <f>0</f>
        <v>0</v>
      </c>
      <c r="K17" s="21">
        <f>0</f>
        <v>0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>
      <c r="A18" s="16" t="s">
        <v>30</v>
      </c>
      <c r="B18" s="17" t="s">
        <v>31</v>
      </c>
      <c r="C18" s="18">
        <f>0</f>
        <v>0</v>
      </c>
      <c r="D18" s="18">
        <f>0</f>
        <v>0</v>
      </c>
      <c r="E18" s="18">
        <f>0</f>
        <v>0</v>
      </c>
      <c r="F18" s="18">
        <f>0</f>
        <v>0</v>
      </c>
      <c r="G18" s="18">
        <f>0</f>
        <v>0</v>
      </c>
      <c r="H18" s="19">
        <f>0</f>
        <v>0</v>
      </c>
      <c r="I18" s="19">
        <f>0</f>
        <v>0</v>
      </c>
      <c r="J18" s="20">
        <f>0</f>
        <v>0</v>
      </c>
      <c r="K18" s="21">
        <f>0</f>
        <v>0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>
      <c r="A19" s="16" t="s">
        <v>32</v>
      </c>
      <c r="B19" s="17" t="s">
        <v>33</v>
      </c>
      <c r="C19" s="18">
        <f>129715.85</f>
        <v>129715.85000000001</v>
      </c>
      <c r="D19" s="18">
        <f>88757.2</f>
        <v>88757.199999999997</v>
      </c>
      <c r="E19" s="18">
        <f>51093.45</f>
        <v>51093.449999999997</v>
      </c>
      <c r="F19" s="18">
        <f>163522.45</f>
        <v>163522.45000000001</v>
      </c>
      <c r="G19" s="18">
        <f>226275.31</f>
        <v>226275.31</v>
      </c>
      <c r="H19" s="19">
        <f>252961.97</f>
        <v>252961.97</v>
      </c>
      <c r="I19" s="19">
        <f>300000</f>
        <v>300000</v>
      </c>
      <c r="J19" s="20">
        <f>300000</f>
        <v>300000</v>
      </c>
      <c r="K19" s="21">
        <f>350000</f>
        <v>350000</v>
      </c>
      <c r="L19" s="22">
        <f>250000</f>
        <v>250000</v>
      </c>
      <c r="M19" s="22">
        <f>200000</f>
        <v>200000</v>
      </c>
      <c r="N19" s="22">
        <f>150000</f>
        <v>150000</v>
      </c>
      <c r="O19" s="22">
        <f>100000</f>
        <v>100000</v>
      </c>
      <c r="P19" s="22">
        <f>0</f>
        <v>0</v>
      </c>
      <c r="Q19" s="22">
        <f>0</f>
        <v>0</v>
      </c>
    </row>
    <row r="20">
      <c r="A20" s="16" t="s">
        <v>34</v>
      </c>
      <c r="B20" s="17" t="s">
        <v>35</v>
      </c>
      <c r="C20" s="18">
        <f>0</f>
        <v>0</v>
      </c>
      <c r="D20" s="18">
        <f>0</f>
        <v>0</v>
      </c>
      <c r="E20" s="18">
        <f>0</f>
        <v>0</v>
      </c>
      <c r="F20" s="18">
        <f>0</f>
        <v>0</v>
      </c>
      <c r="G20" s="18">
        <f>0</f>
        <v>0</v>
      </c>
      <c r="H20" s="19">
        <f>0</f>
        <v>0</v>
      </c>
      <c r="I20" s="19">
        <f>0</f>
        <v>0</v>
      </c>
      <c r="J20" s="20">
        <f>0</f>
        <v>0</v>
      </c>
      <c r="K20" s="21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>
      <c r="A21" s="16" t="s">
        <v>36</v>
      </c>
      <c r="B21" s="17" t="s">
        <v>37</v>
      </c>
      <c r="C21" s="18">
        <f>0</f>
        <v>0</v>
      </c>
      <c r="D21" s="18">
        <f>0</f>
        <v>0</v>
      </c>
      <c r="E21" s="18">
        <f>0</f>
        <v>0</v>
      </c>
      <c r="F21" s="18">
        <f>0</f>
        <v>0</v>
      </c>
      <c r="G21" s="18">
        <f>0</f>
        <v>0</v>
      </c>
      <c r="H21" s="19">
        <f>0</f>
        <v>0</v>
      </c>
      <c r="I21" s="19">
        <f>0</f>
        <v>0</v>
      </c>
      <c r="J21" s="20">
        <f>0</f>
        <v>0</v>
      </c>
      <c r="K21" s="21">
        <f>0</f>
        <v>0</v>
      </c>
      <c r="L21" s="22">
        <f>0</f>
        <v>0</v>
      </c>
      <c r="M21" s="22">
        <f>0</f>
        <v>0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>
      <c r="A22" s="16" t="s">
        <v>38</v>
      </c>
      <c r="B22" s="17" t="s">
        <v>39</v>
      </c>
      <c r="C22" s="18">
        <f>0</f>
        <v>0</v>
      </c>
      <c r="D22" s="18">
        <f>0</f>
        <v>0</v>
      </c>
      <c r="E22" s="18">
        <f>0</f>
        <v>0</v>
      </c>
      <c r="F22" s="18">
        <f>0</f>
        <v>0</v>
      </c>
      <c r="G22" s="18">
        <f>0</f>
        <v>0</v>
      </c>
      <c r="H22" s="19">
        <f>0</f>
        <v>0</v>
      </c>
      <c r="I22" s="19">
        <f>0</f>
        <v>0</v>
      </c>
      <c r="J22" s="20">
        <f>0</f>
        <v>0</v>
      </c>
      <c r="K22" s="21">
        <f>0</f>
        <v>0</v>
      </c>
      <c r="L22" s="22">
        <f>0</f>
        <v>0</v>
      </c>
      <c r="M22" s="22">
        <f>0</f>
        <v>0</v>
      </c>
      <c r="N22" s="22">
        <f>0</f>
        <v>0</v>
      </c>
      <c r="O22" s="22">
        <f>0</f>
        <v>0</v>
      </c>
      <c r="P22" s="22">
        <f>0</f>
        <v>0</v>
      </c>
      <c r="Q22" s="22">
        <f>0</f>
        <v>0</v>
      </c>
    </row>
    <row r="23">
      <c r="A23" s="16" t="s">
        <v>40</v>
      </c>
      <c r="B23" s="17" t="s">
        <v>41</v>
      </c>
      <c r="C23" s="18">
        <f>4522119.93</f>
        <v>4522119.9299999997</v>
      </c>
      <c r="D23" s="18">
        <f>2570089.46</f>
        <v>2570089.46</v>
      </c>
      <c r="E23" s="18">
        <f>3756083.11</f>
        <v>3756083.1099999999</v>
      </c>
      <c r="F23" s="18">
        <f>8278140.99</f>
        <v>8278140.9900000002</v>
      </c>
      <c r="G23" s="18">
        <f>9134430.3</f>
        <v>9134430.3000000007</v>
      </c>
      <c r="H23" s="19">
        <f>10429088.8</f>
        <v>10429088.800000001</v>
      </c>
      <c r="I23" s="19">
        <f>18368180.16</f>
        <v>18368180.16</v>
      </c>
      <c r="J23" s="20">
        <f>17351703.8</f>
        <v>17351703.800000001</v>
      </c>
      <c r="K23" s="21">
        <f>8174619.2</f>
        <v>8174619.2000000002</v>
      </c>
      <c r="L23" s="22">
        <f>0</f>
        <v>0</v>
      </c>
      <c r="M23" s="22">
        <f>0</f>
        <v>0</v>
      </c>
      <c r="N23" s="22">
        <f>0</f>
        <v>0</v>
      </c>
      <c r="O23" s="22">
        <f>0</f>
        <v>0</v>
      </c>
      <c r="P23" s="22">
        <f>0</f>
        <v>0</v>
      </c>
      <c r="Q23" s="22">
        <f>0</f>
        <v>0</v>
      </c>
    </row>
    <row r="24">
      <c r="A24" s="16" t="s">
        <v>42</v>
      </c>
      <c r="B24" s="17" t="s">
        <v>43</v>
      </c>
      <c r="C24" s="18">
        <f>4522119.93</f>
        <v>4522119.9299999997</v>
      </c>
      <c r="D24" s="18">
        <f>2570089.46</f>
        <v>2570089.46</v>
      </c>
      <c r="E24" s="18">
        <f>3756083.11</f>
        <v>3756083.1099999999</v>
      </c>
      <c r="F24" s="18">
        <f>8278140.99</f>
        <v>8278140.9900000002</v>
      </c>
      <c r="G24" s="18">
        <f>9134430.3</f>
        <v>9134430.3000000007</v>
      </c>
      <c r="H24" s="19">
        <f>10429088.8</f>
        <v>10429088.800000001</v>
      </c>
      <c r="I24" s="19">
        <f>18358180.16</f>
        <v>18358180.16</v>
      </c>
      <c r="J24" s="20">
        <f>17341703.8</f>
        <v>17341703.800000001</v>
      </c>
      <c r="K24" s="21">
        <f>8174619.2</f>
        <v>8174619.2000000002</v>
      </c>
      <c r="L24" s="22">
        <f>0</f>
        <v>0</v>
      </c>
      <c r="M24" s="22">
        <f>0</f>
        <v>0</v>
      </c>
      <c r="N24" s="22">
        <f>0</f>
        <v>0</v>
      </c>
      <c r="O24" s="22">
        <f>0</f>
        <v>0</v>
      </c>
      <c r="P24" s="22">
        <f>0</f>
        <v>0</v>
      </c>
      <c r="Q24" s="22">
        <f>0</f>
        <v>0</v>
      </c>
    </row>
    <row r="25">
      <c r="A25" s="16" t="s">
        <v>44</v>
      </c>
      <c r="B25" s="17" t="s">
        <v>45</v>
      </c>
      <c r="C25" s="18">
        <f>0</f>
        <v>0</v>
      </c>
      <c r="D25" s="18">
        <f>0</f>
        <v>0</v>
      </c>
      <c r="E25" s="18">
        <f>16177.63</f>
        <v>16177.629999999999</v>
      </c>
      <c r="F25" s="18">
        <f>397484.02</f>
        <v>397484.02000000002</v>
      </c>
      <c r="G25" s="18">
        <f>0</f>
        <v>0</v>
      </c>
      <c r="H25" s="19">
        <f>510109.11</f>
        <v>510109.10999999999</v>
      </c>
      <c r="I25" s="19">
        <f>302000</f>
        <v>302000</v>
      </c>
      <c r="J25" s="20">
        <f>480974.64</f>
        <v>480974.64000000001</v>
      </c>
      <c r="K25" s="21">
        <f>0</f>
        <v>0</v>
      </c>
      <c r="L25" s="22">
        <f>0</f>
        <v>0</v>
      </c>
      <c r="M25" s="22">
        <f>0</f>
        <v>0</v>
      </c>
      <c r="N25" s="22">
        <f>0</f>
        <v>0</v>
      </c>
      <c r="O25" s="22">
        <f>0</f>
        <v>0</v>
      </c>
      <c r="P25" s="22">
        <f>0</f>
        <v>0</v>
      </c>
      <c r="Q25" s="22">
        <f>0</f>
        <v>0</v>
      </c>
    </row>
    <row r="26">
      <c r="A26" s="23">
        <v>3</v>
      </c>
      <c r="B26" s="24" t="s">
        <v>46</v>
      </c>
      <c r="C26" s="25">
        <f>-249469.63</f>
        <v>-249469.63</v>
      </c>
      <c r="D26" s="25">
        <f>1679410.93</f>
        <v>1679410.9299999999</v>
      </c>
      <c r="E26" s="25">
        <f>6062370.37</f>
        <v>6062370.3700000001</v>
      </c>
      <c r="F26" s="25">
        <f>-4059878.49</f>
        <v>-4059878.4900000002</v>
      </c>
      <c r="G26" s="25">
        <f>-3999611.38</f>
        <v>-3999611.3799999999</v>
      </c>
      <c r="H26" s="26">
        <f>4882738.73</f>
        <v>4882738.7300000004</v>
      </c>
      <c r="I26" s="26">
        <f>-6291097.57</f>
        <v>-6291097.5700000003</v>
      </c>
      <c r="J26" s="27">
        <f>-6291097.57</f>
        <v>-6291097.5700000003</v>
      </c>
      <c r="K26" s="28">
        <f>-1000000</f>
        <v>-1000000</v>
      </c>
      <c r="L26" s="29">
        <f>970000</f>
        <v>970000</v>
      </c>
      <c r="M26" s="29">
        <f>1210000</f>
        <v>1210000</v>
      </c>
      <c r="N26" s="29">
        <f>1200000</f>
        <v>1200000</v>
      </c>
      <c r="O26" s="29">
        <f>1000000</f>
        <v>1000000</v>
      </c>
      <c r="P26" s="29">
        <f>1159950</f>
        <v>1159950</v>
      </c>
      <c r="Q26" s="29">
        <f>1050000</f>
        <v>1050000</v>
      </c>
    </row>
    <row r="27">
      <c r="A27" s="16" t="s">
        <v>47</v>
      </c>
      <c r="B27" s="17" t="s">
        <v>48</v>
      </c>
      <c r="C27" s="18">
        <f>0</f>
        <v>0</v>
      </c>
      <c r="D27" s="18">
        <f>0</f>
        <v>0</v>
      </c>
      <c r="E27" s="18">
        <f>0</f>
        <v>0</v>
      </c>
      <c r="F27" s="18">
        <f>0</f>
        <v>0</v>
      </c>
      <c r="G27" s="18">
        <f>0</f>
        <v>0</v>
      </c>
      <c r="H27" s="19">
        <f>0</f>
        <v>0</v>
      </c>
      <c r="I27" s="19">
        <f>0</f>
        <v>0</v>
      </c>
      <c r="J27" s="20">
        <f>0</f>
        <v>0</v>
      </c>
      <c r="K27" s="21">
        <f>0</f>
        <v>0</v>
      </c>
      <c r="L27" s="22">
        <f>970000</f>
        <v>970000</v>
      </c>
      <c r="M27" s="22">
        <f>1210000</f>
        <v>1210000</v>
      </c>
      <c r="N27" s="22">
        <f>1200000</f>
        <v>1200000</v>
      </c>
      <c r="O27" s="22">
        <f>1000000</f>
        <v>1000000</v>
      </c>
      <c r="P27" s="22">
        <f>1159950</f>
        <v>1159950</v>
      </c>
      <c r="Q27" s="22">
        <f>1050000</f>
        <v>1050000</v>
      </c>
    </row>
    <row r="28">
      <c r="A28" s="23">
        <v>4</v>
      </c>
      <c r="B28" s="24" t="s">
        <v>49</v>
      </c>
      <c r="C28" s="25">
        <f>1661585</f>
        <v>1661585</v>
      </c>
      <c r="D28" s="25">
        <f>274187.41</f>
        <v>274187.40999999997</v>
      </c>
      <c r="E28" s="25">
        <f>307809.53</f>
        <v>307809.53000000003</v>
      </c>
      <c r="F28" s="25">
        <f>8003328.71</f>
        <v>8003328.71</v>
      </c>
      <c r="G28" s="25">
        <f>4777970.22</f>
        <v>4777970.2199999997</v>
      </c>
      <c r="H28" s="26">
        <f>48358.84</f>
        <v>48358.839999999997</v>
      </c>
      <c r="I28" s="26">
        <f>7341097.57</f>
        <v>7341097.5700000003</v>
      </c>
      <c r="J28" s="27">
        <f>7341097.57</f>
        <v>7341097.5700000003</v>
      </c>
      <c r="K28" s="28">
        <f>2159950</f>
        <v>2159950</v>
      </c>
      <c r="L28" s="29">
        <f>0</f>
        <v>0</v>
      </c>
      <c r="M28" s="29">
        <f>0</f>
        <v>0</v>
      </c>
      <c r="N28" s="29">
        <f>0</f>
        <v>0</v>
      </c>
      <c r="O28" s="29">
        <f>0</f>
        <v>0</v>
      </c>
      <c r="P28" s="29">
        <f>0</f>
        <v>0</v>
      </c>
      <c r="Q28" s="29">
        <f>0</f>
        <v>0</v>
      </c>
    </row>
    <row r="29">
      <c r="A29" s="16" t="s">
        <v>50</v>
      </c>
      <c r="B29" s="17" t="s">
        <v>51</v>
      </c>
      <c r="C29" s="18">
        <f>1639950</f>
        <v>1639950</v>
      </c>
      <c r="D29" s="18">
        <f>0</f>
        <v>0</v>
      </c>
      <c r="E29" s="18">
        <f>0</f>
        <v>0</v>
      </c>
      <c r="F29" s="18">
        <f>2127740</f>
        <v>2127740</v>
      </c>
      <c r="G29" s="18">
        <f>2590000</f>
        <v>2590000</v>
      </c>
      <c r="H29" s="19">
        <f>0</f>
        <v>0</v>
      </c>
      <c r="I29" s="19">
        <f>3850000</f>
        <v>3850000</v>
      </c>
      <c r="J29" s="20">
        <f>3850000</f>
        <v>3850000</v>
      </c>
      <c r="K29" s="21">
        <f>2159950</f>
        <v>2159950</v>
      </c>
      <c r="L29" s="22">
        <f>0</f>
        <v>0</v>
      </c>
      <c r="M29" s="22">
        <f>0</f>
        <v>0</v>
      </c>
      <c r="N29" s="22">
        <f>0</f>
        <v>0</v>
      </c>
      <c r="O29" s="22">
        <f>0</f>
        <v>0</v>
      </c>
      <c r="P29" s="22">
        <f>0</f>
        <v>0</v>
      </c>
      <c r="Q29" s="22">
        <f>0</f>
        <v>0</v>
      </c>
    </row>
    <row r="30">
      <c r="A30" s="16" t="s">
        <v>52</v>
      </c>
      <c r="B30" s="17" t="s">
        <v>53</v>
      </c>
      <c r="C30" s="18">
        <f>249469.63</f>
        <v>249469.63</v>
      </c>
      <c r="D30" s="18">
        <f>0</f>
        <v>0</v>
      </c>
      <c r="E30" s="18">
        <f>0</f>
        <v>0</v>
      </c>
      <c r="F30" s="18">
        <f>1250000</f>
        <v>1250000</v>
      </c>
      <c r="G30" s="18">
        <f>2590000</f>
        <v>2590000</v>
      </c>
      <c r="H30" s="19">
        <f>0</f>
        <v>0</v>
      </c>
      <c r="I30" s="19">
        <f>2800000</f>
        <v>2800000</v>
      </c>
      <c r="J30" s="20">
        <f>2800000</f>
        <v>2800000</v>
      </c>
      <c r="K30" s="21">
        <f>1000000</f>
        <v>1000000</v>
      </c>
      <c r="L30" s="22">
        <f>0</f>
        <v>0</v>
      </c>
      <c r="M30" s="22">
        <f>0</f>
        <v>0</v>
      </c>
      <c r="N30" s="22">
        <f>0</f>
        <v>0</v>
      </c>
      <c r="O30" s="22">
        <f>0</f>
        <v>0</v>
      </c>
      <c r="P30" s="22">
        <f>0</f>
        <v>0</v>
      </c>
      <c r="Q30" s="22">
        <f>0</f>
        <v>0</v>
      </c>
    </row>
    <row r="31">
      <c r="A31" s="16" t="s">
        <v>54</v>
      </c>
      <c r="B31" s="17" t="s">
        <v>55</v>
      </c>
      <c r="C31" s="18">
        <f>0</f>
        <v>0</v>
      </c>
      <c r="D31" s="18">
        <f>10063.83</f>
        <v>10063.83</v>
      </c>
      <c r="E31" s="18">
        <f>0</f>
        <v>0</v>
      </c>
      <c r="F31" s="18">
        <f>4477170.57</f>
        <v>4477170.5700000003</v>
      </c>
      <c r="G31" s="18">
        <f>979107.36</f>
        <v>979107.35999999999</v>
      </c>
      <c r="H31" s="19">
        <f>0</f>
        <v>0</v>
      </c>
      <c r="I31" s="19">
        <f>701147.57</f>
        <v>701147.56999999995</v>
      </c>
      <c r="J31" s="20">
        <f>701147.57</f>
        <v>701147.56999999995</v>
      </c>
      <c r="K31" s="21">
        <f>0</f>
        <v>0</v>
      </c>
      <c r="L31" s="22">
        <f>0</f>
        <v>0</v>
      </c>
      <c r="M31" s="22">
        <f>0</f>
        <v>0</v>
      </c>
      <c r="N31" s="22">
        <f>0</f>
        <v>0</v>
      </c>
      <c r="O31" s="22">
        <f>0</f>
        <v>0</v>
      </c>
      <c r="P31" s="22">
        <f>0</f>
        <v>0</v>
      </c>
      <c r="Q31" s="22">
        <f>0</f>
        <v>0</v>
      </c>
    </row>
    <row r="32">
      <c r="A32" s="16" t="s">
        <v>56</v>
      </c>
      <c r="B32" s="17" t="s">
        <v>53</v>
      </c>
      <c r="C32" s="18">
        <f>0</f>
        <v>0</v>
      </c>
      <c r="D32" s="18">
        <f>0</f>
        <v>0</v>
      </c>
      <c r="E32" s="18">
        <f>0</f>
        <v>0</v>
      </c>
      <c r="F32" s="18">
        <f>4059878.49</f>
        <v>4059878.4900000002</v>
      </c>
      <c r="G32" s="18">
        <f>979107.36</f>
        <v>979107.35999999999</v>
      </c>
      <c r="H32" s="19">
        <f>0</f>
        <v>0</v>
      </c>
      <c r="I32" s="19">
        <f>701147.57</f>
        <v>701147.56999999995</v>
      </c>
      <c r="J32" s="20">
        <f>701147.57</f>
        <v>701147.56999999995</v>
      </c>
      <c r="K32" s="21">
        <f>0</f>
        <v>0</v>
      </c>
      <c r="L32" s="22">
        <f>0</f>
        <v>0</v>
      </c>
      <c r="M32" s="22">
        <f>0</f>
        <v>0</v>
      </c>
      <c r="N32" s="22">
        <f>0</f>
        <v>0</v>
      </c>
      <c r="O32" s="22">
        <f>0</f>
        <v>0</v>
      </c>
      <c r="P32" s="22">
        <f>0</f>
        <v>0</v>
      </c>
      <c r="Q32" s="22">
        <f>0</f>
        <v>0</v>
      </c>
    </row>
    <row r="33">
      <c r="A33" s="16" t="s">
        <v>57</v>
      </c>
      <c r="B33" s="17" t="s">
        <v>58</v>
      </c>
      <c r="C33" s="18">
        <f>21635</f>
        <v>21635</v>
      </c>
      <c r="D33" s="18">
        <f>264123.58</f>
        <v>264123.58000000002</v>
      </c>
      <c r="E33" s="18">
        <f>307809.53</f>
        <v>307809.53000000003</v>
      </c>
      <c r="F33" s="18">
        <f>1398418.14</f>
        <v>1398418.1399999999</v>
      </c>
      <c r="G33" s="18">
        <f>1208862.86</f>
        <v>1208862.8600000001</v>
      </c>
      <c r="H33" s="19">
        <f>48358.84</f>
        <v>48358.839999999997</v>
      </c>
      <c r="I33" s="19">
        <f>2789950</f>
        <v>2789950</v>
      </c>
      <c r="J33" s="20">
        <f>2789950</f>
        <v>2789950</v>
      </c>
      <c r="K33" s="21">
        <f>0</f>
        <v>0</v>
      </c>
      <c r="L33" s="22">
        <f>0</f>
        <v>0</v>
      </c>
      <c r="M33" s="22">
        <f>0</f>
        <v>0</v>
      </c>
      <c r="N33" s="22">
        <f>0</f>
        <v>0</v>
      </c>
      <c r="O33" s="22">
        <f>0</f>
        <v>0</v>
      </c>
      <c r="P33" s="22">
        <f>0</f>
        <v>0</v>
      </c>
      <c r="Q33" s="22">
        <f>0</f>
        <v>0</v>
      </c>
    </row>
    <row r="34">
      <c r="A34" s="16" t="s">
        <v>59</v>
      </c>
      <c r="B34" s="17" t="s">
        <v>53</v>
      </c>
      <c r="C34" s="18">
        <f>21635</f>
        <v>21635</v>
      </c>
      <c r="D34" s="18">
        <f>0</f>
        <v>0</v>
      </c>
      <c r="E34" s="18">
        <f>0</f>
        <v>0</v>
      </c>
      <c r="F34" s="18">
        <f>1398418.14</f>
        <v>1398418.1399999999</v>
      </c>
      <c r="G34" s="18">
        <f>1208862.86</f>
        <v>1208862.8600000001</v>
      </c>
      <c r="H34" s="19">
        <f>0</f>
        <v>0</v>
      </c>
      <c r="I34" s="19">
        <f>2789950</f>
        <v>2789950</v>
      </c>
      <c r="J34" s="20">
        <f>2789950</f>
        <v>2789950</v>
      </c>
      <c r="K34" s="21">
        <f>0</f>
        <v>0</v>
      </c>
      <c r="L34" s="22">
        <f>0</f>
        <v>0</v>
      </c>
      <c r="M34" s="22">
        <f>0</f>
        <v>0</v>
      </c>
      <c r="N34" s="22">
        <f>0</f>
        <v>0</v>
      </c>
      <c r="O34" s="22">
        <f>0</f>
        <v>0</v>
      </c>
      <c r="P34" s="22">
        <f>0</f>
        <v>0</v>
      </c>
      <c r="Q34" s="22">
        <f>0</f>
        <v>0</v>
      </c>
    </row>
    <row r="35">
      <c r="A35" s="16" t="s">
        <v>60</v>
      </c>
      <c r="B35" s="17" t="s">
        <v>61</v>
      </c>
      <c r="C35" s="18">
        <f>0</f>
        <v>0</v>
      </c>
      <c r="D35" s="18">
        <f>0</f>
        <v>0</v>
      </c>
      <c r="E35" s="18">
        <f>0</f>
        <v>0</v>
      </c>
      <c r="F35" s="18">
        <f>0</f>
        <v>0</v>
      </c>
      <c r="G35" s="18">
        <f>0</f>
        <v>0</v>
      </c>
      <c r="H35" s="19">
        <f>0</f>
        <v>0</v>
      </c>
      <c r="I35" s="19">
        <f>0</f>
        <v>0</v>
      </c>
      <c r="J35" s="20">
        <f>0</f>
        <v>0</v>
      </c>
      <c r="K35" s="21">
        <f>0</f>
        <v>0</v>
      </c>
      <c r="L35" s="22">
        <f>0</f>
        <v>0</v>
      </c>
      <c r="M35" s="22">
        <f>0</f>
        <v>0</v>
      </c>
      <c r="N35" s="22">
        <f>0</f>
        <v>0</v>
      </c>
      <c r="O35" s="22">
        <f>0</f>
        <v>0</v>
      </c>
      <c r="P35" s="22">
        <f>0</f>
        <v>0</v>
      </c>
      <c r="Q35" s="22">
        <f>0</f>
        <v>0</v>
      </c>
    </row>
    <row r="36">
      <c r="A36" s="16" t="s">
        <v>62</v>
      </c>
      <c r="B36" s="17" t="s">
        <v>53</v>
      </c>
      <c r="C36" s="18">
        <f>0</f>
        <v>0</v>
      </c>
      <c r="D36" s="18">
        <f>0</f>
        <v>0</v>
      </c>
      <c r="E36" s="18">
        <f>0</f>
        <v>0</v>
      </c>
      <c r="F36" s="18">
        <f>0</f>
        <v>0</v>
      </c>
      <c r="G36" s="18">
        <f>0</f>
        <v>0</v>
      </c>
      <c r="H36" s="19">
        <f>0</f>
        <v>0</v>
      </c>
      <c r="I36" s="19">
        <f>0</f>
        <v>0</v>
      </c>
      <c r="J36" s="20">
        <f>0</f>
        <v>0</v>
      </c>
      <c r="K36" s="21">
        <f>0</f>
        <v>0</v>
      </c>
      <c r="L36" s="22">
        <f>0</f>
        <v>0</v>
      </c>
      <c r="M36" s="22">
        <f>0</f>
        <v>0</v>
      </c>
      <c r="N36" s="22">
        <f>0</f>
        <v>0</v>
      </c>
      <c r="O36" s="22">
        <f>0</f>
        <v>0</v>
      </c>
      <c r="P36" s="22">
        <f>0</f>
        <v>0</v>
      </c>
      <c r="Q36" s="22">
        <f>0</f>
        <v>0</v>
      </c>
    </row>
    <row r="37">
      <c r="A37" s="16" t="s">
        <v>63</v>
      </c>
      <c r="B37" s="17" t="s">
        <v>64</v>
      </c>
      <c r="C37" s="18">
        <f>0</f>
        <v>0</v>
      </c>
      <c r="D37" s="18">
        <f>0</f>
        <v>0</v>
      </c>
      <c r="E37" s="18">
        <f>0</f>
        <v>0</v>
      </c>
      <c r="F37" s="18">
        <f>0</f>
        <v>0</v>
      </c>
      <c r="G37" s="18">
        <f>0</f>
        <v>0</v>
      </c>
      <c r="H37" s="19">
        <f>0</f>
        <v>0</v>
      </c>
      <c r="I37" s="19">
        <f>0</f>
        <v>0</v>
      </c>
      <c r="J37" s="20">
        <f>0</f>
        <v>0</v>
      </c>
      <c r="K37" s="21">
        <f>0</f>
        <v>0</v>
      </c>
      <c r="L37" s="22">
        <f>0</f>
        <v>0</v>
      </c>
      <c r="M37" s="22">
        <f>0</f>
        <v>0</v>
      </c>
      <c r="N37" s="22">
        <f>0</f>
        <v>0</v>
      </c>
      <c r="O37" s="22">
        <f>0</f>
        <v>0</v>
      </c>
      <c r="P37" s="22">
        <f>0</f>
        <v>0</v>
      </c>
      <c r="Q37" s="22">
        <f>0</f>
        <v>0</v>
      </c>
    </row>
    <row r="38">
      <c r="A38" s="16" t="s">
        <v>65</v>
      </c>
      <c r="B38" s="17" t="s">
        <v>53</v>
      </c>
      <c r="C38" s="18">
        <f>0</f>
        <v>0</v>
      </c>
      <c r="D38" s="18">
        <f>0</f>
        <v>0</v>
      </c>
      <c r="E38" s="18">
        <f>0</f>
        <v>0</v>
      </c>
      <c r="F38" s="18">
        <f>0</f>
        <v>0</v>
      </c>
      <c r="G38" s="18">
        <f>0</f>
        <v>0</v>
      </c>
      <c r="H38" s="19">
        <f>0</f>
        <v>0</v>
      </c>
      <c r="I38" s="19">
        <f>0</f>
        <v>0</v>
      </c>
      <c r="J38" s="20">
        <f>0</f>
        <v>0</v>
      </c>
      <c r="K38" s="21">
        <f>0</f>
        <v>0</v>
      </c>
      <c r="L38" s="22">
        <f>0</f>
        <v>0</v>
      </c>
      <c r="M38" s="22">
        <f>0</f>
        <v>0</v>
      </c>
      <c r="N38" s="22">
        <f>0</f>
        <v>0</v>
      </c>
      <c r="O38" s="22">
        <f>0</f>
        <v>0</v>
      </c>
      <c r="P38" s="22">
        <f>0</f>
        <v>0</v>
      </c>
      <c r="Q38" s="22">
        <f>0</f>
        <v>0</v>
      </c>
    </row>
    <row r="39">
      <c r="A39" s="23">
        <v>5</v>
      </c>
      <c r="B39" s="24" t="s">
        <v>66</v>
      </c>
      <c r="C39" s="25">
        <f>1137928</f>
        <v>1137928</v>
      </c>
      <c r="D39" s="25">
        <f>1135860</f>
        <v>1135860</v>
      </c>
      <c r="E39" s="25">
        <f>1004520</f>
        <v>1004520</v>
      </c>
      <c r="F39" s="25">
        <f>877740</f>
        <v>877740</v>
      </c>
      <c r="G39" s="25">
        <f>730000</f>
        <v>730000</v>
      </c>
      <c r="H39" s="26">
        <f>1440000</f>
        <v>1440000</v>
      </c>
      <c r="I39" s="26">
        <f>1050000</f>
        <v>1050000</v>
      </c>
      <c r="J39" s="27">
        <f>1050000</f>
        <v>1050000</v>
      </c>
      <c r="K39" s="28">
        <f>1159950</f>
        <v>1159950</v>
      </c>
      <c r="L39" s="29">
        <f>970000</f>
        <v>970000</v>
      </c>
      <c r="M39" s="29">
        <f>1210000</f>
        <v>1210000</v>
      </c>
      <c r="N39" s="29">
        <f>1200000</f>
        <v>1200000</v>
      </c>
      <c r="O39" s="29">
        <f>1000000</f>
        <v>1000000</v>
      </c>
      <c r="P39" s="29">
        <f>1159950</f>
        <v>1159950</v>
      </c>
      <c r="Q39" s="29">
        <f>1050000</f>
        <v>1050000</v>
      </c>
    </row>
    <row r="40">
      <c r="A40" s="16" t="s">
        <v>67</v>
      </c>
      <c r="B40" s="17" t="s">
        <v>68</v>
      </c>
      <c r="C40" s="18">
        <f>1137928</f>
        <v>1137928</v>
      </c>
      <c r="D40" s="18">
        <f>1135860</f>
        <v>1135860</v>
      </c>
      <c r="E40" s="18">
        <f>1004520</f>
        <v>1004520</v>
      </c>
      <c r="F40" s="18">
        <f>877740</f>
        <v>877740</v>
      </c>
      <c r="G40" s="18">
        <f>730000</f>
        <v>730000</v>
      </c>
      <c r="H40" s="19">
        <f>1440000</f>
        <v>1440000</v>
      </c>
      <c r="I40" s="19">
        <f>1050000</f>
        <v>1050000</v>
      </c>
      <c r="J40" s="20">
        <f>1050000</f>
        <v>1050000</v>
      </c>
      <c r="K40" s="21">
        <f>1159950</f>
        <v>1159950</v>
      </c>
      <c r="L40" s="22">
        <f>970000</f>
        <v>970000</v>
      </c>
      <c r="M40" s="22">
        <f>1210000</f>
        <v>1210000</v>
      </c>
      <c r="N40" s="22">
        <f>1200000</f>
        <v>1200000</v>
      </c>
      <c r="O40" s="22">
        <f>1000000</f>
        <v>1000000</v>
      </c>
      <c r="P40" s="22">
        <f>1159950</f>
        <v>1159950</v>
      </c>
      <c r="Q40" s="22">
        <f>1050000</f>
        <v>1050000</v>
      </c>
    </row>
    <row r="41">
      <c r="A41" s="16" t="s">
        <v>69</v>
      </c>
      <c r="B41" s="17" t="s">
        <v>70</v>
      </c>
      <c r="C41" s="18">
        <f>0</f>
        <v>0</v>
      </c>
      <c r="D41" s="18">
        <f>0</f>
        <v>0</v>
      </c>
      <c r="E41" s="18">
        <f>0</f>
        <v>0</v>
      </c>
      <c r="F41" s="18">
        <f>0</f>
        <v>0</v>
      </c>
      <c r="G41" s="18">
        <f>0</f>
        <v>0</v>
      </c>
      <c r="H41" s="19">
        <f>0</f>
        <v>0</v>
      </c>
      <c r="I41" s="19">
        <f>0</f>
        <v>0</v>
      </c>
      <c r="J41" s="20">
        <f>0</f>
        <v>0</v>
      </c>
      <c r="K41" s="21">
        <f>0</f>
        <v>0</v>
      </c>
      <c r="L41" s="22">
        <f>0</f>
        <v>0</v>
      </c>
      <c r="M41" s="22">
        <f>0</f>
        <v>0</v>
      </c>
      <c r="N41" s="22">
        <f>0</f>
        <v>0</v>
      </c>
      <c r="O41" s="22">
        <f>0</f>
        <v>0</v>
      </c>
      <c r="P41" s="22">
        <f>0</f>
        <v>0</v>
      </c>
      <c r="Q41" s="22">
        <f>0</f>
        <v>0</v>
      </c>
    </row>
    <row r="42">
      <c r="A42" s="16" t="s">
        <v>71</v>
      </c>
      <c r="B42" s="17" t="s">
        <v>72</v>
      </c>
      <c r="C42" s="18">
        <f>0</f>
        <v>0</v>
      </c>
      <c r="D42" s="18">
        <f>0</f>
        <v>0</v>
      </c>
      <c r="E42" s="18">
        <f>0</f>
        <v>0</v>
      </c>
      <c r="F42" s="18">
        <f>0</f>
        <v>0</v>
      </c>
      <c r="G42" s="18">
        <f>0</f>
        <v>0</v>
      </c>
      <c r="H42" s="19">
        <f>0</f>
        <v>0</v>
      </c>
      <c r="I42" s="19">
        <f>0</f>
        <v>0</v>
      </c>
      <c r="J42" s="20">
        <f>0</f>
        <v>0</v>
      </c>
      <c r="K42" s="21">
        <f>0</f>
        <v>0</v>
      </c>
      <c r="L42" s="22">
        <f>0</f>
        <v>0</v>
      </c>
      <c r="M42" s="22">
        <f>0</f>
        <v>0</v>
      </c>
      <c r="N42" s="22">
        <f>0</f>
        <v>0</v>
      </c>
      <c r="O42" s="22">
        <f>0</f>
        <v>0</v>
      </c>
      <c r="P42" s="22">
        <f>0</f>
        <v>0</v>
      </c>
      <c r="Q42" s="22">
        <f>0</f>
        <v>0</v>
      </c>
    </row>
    <row r="43">
      <c r="A43" s="16" t="s">
        <v>73</v>
      </c>
      <c r="B43" s="17" t="s">
        <v>74</v>
      </c>
      <c r="C43" s="18">
        <f>0</f>
        <v>0</v>
      </c>
      <c r="D43" s="18">
        <f>0</f>
        <v>0</v>
      </c>
      <c r="E43" s="18">
        <f>0</f>
        <v>0</v>
      </c>
      <c r="F43" s="18">
        <f>0</f>
        <v>0</v>
      </c>
      <c r="G43" s="18">
        <f>0</f>
        <v>0</v>
      </c>
      <c r="H43" s="19">
        <f>0</f>
        <v>0</v>
      </c>
      <c r="I43" s="19">
        <f>0</f>
        <v>0</v>
      </c>
      <c r="J43" s="20">
        <f>0</f>
        <v>0</v>
      </c>
      <c r="K43" s="21">
        <f>0</f>
        <v>0</v>
      </c>
      <c r="L43" s="22">
        <f>0</f>
        <v>0</v>
      </c>
      <c r="M43" s="22">
        <f>0</f>
        <v>0</v>
      </c>
      <c r="N43" s="22">
        <f>0</f>
        <v>0</v>
      </c>
      <c r="O43" s="22">
        <f>0</f>
        <v>0</v>
      </c>
      <c r="P43" s="22">
        <f>0</f>
        <v>0</v>
      </c>
      <c r="Q43" s="22">
        <f>0</f>
        <v>0</v>
      </c>
    </row>
    <row r="44">
      <c r="A44" s="16" t="s">
        <v>75</v>
      </c>
      <c r="B44" s="17" t="s">
        <v>76</v>
      </c>
      <c r="C44" s="18">
        <f>0</f>
        <v>0</v>
      </c>
      <c r="D44" s="18">
        <f>0</f>
        <v>0</v>
      </c>
      <c r="E44" s="18">
        <f>0</f>
        <v>0</v>
      </c>
      <c r="F44" s="18">
        <f>0</f>
        <v>0</v>
      </c>
      <c r="G44" s="18">
        <f>0</f>
        <v>0</v>
      </c>
      <c r="H44" s="19">
        <f>0</f>
        <v>0</v>
      </c>
      <c r="I44" s="19">
        <f>0</f>
        <v>0</v>
      </c>
      <c r="J44" s="20">
        <f>0</f>
        <v>0</v>
      </c>
      <c r="K44" s="21">
        <f>0</f>
        <v>0</v>
      </c>
      <c r="L44" s="22">
        <f>0</f>
        <v>0</v>
      </c>
      <c r="M44" s="22">
        <f>0</f>
        <v>0</v>
      </c>
      <c r="N44" s="22">
        <f>0</f>
        <v>0</v>
      </c>
      <c r="O44" s="22">
        <f>0</f>
        <v>0</v>
      </c>
      <c r="P44" s="22">
        <f>0</f>
        <v>0</v>
      </c>
      <c r="Q44" s="22">
        <f>0</f>
        <v>0</v>
      </c>
    </row>
    <row r="45">
      <c r="A45" s="16" t="s">
        <v>77</v>
      </c>
      <c r="B45" s="17" t="s">
        <v>78</v>
      </c>
      <c r="C45" s="18">
        <f>0</f>
        <v>0</v>
      </c>
      <c r="D45" s="18">
        <f>0</f>
        <v>0</v>
      </c>
      <c r="E45" s="18">
        <f>0</f>
        <v>0</v>
      </c>
      <c r="F45" s="18">
        <f>0</f>
        <v>0</v>
      </c>
      <c r="G45" s="18">
        <f>0</f>
        <v>0</v>
      </c>
      <c r="H45" s="19">
        <f>0</f>
        <v>0</v>
      </c>
      <c r="I45" s="19">
        <f>0</f>
        <v>0</v>
      </c>
      <c r="J45" s="20">
        <f>0</f>
        <v>0</v>
      </c>
      <c r="K45" s="21">
        <f>0</f>
        <v>0</v>
      </c>
      <c r="L45" s="22">
        <f>0</f>
        <v>0</v>
      </c>
      <c r="M45" s="22">
        <f>0</f>
        <v>0</v>
      </c>
      <c r="N45" s="22">
        <f>0</f>
        <v>0</v>
      </c>
      <c r="O45" s="22">
        <f>0</f>
        <v>0</v>
      </c>
      <c r="P45" s="22">
        <f>0</f>
        <v>0</v>
      </c>
      <c r="Q45" s="22">
        <f>0</f>
        <v>0</v>
      </c>
    </row>
    <row r="46">
      <c r="A46" s="16" t="s">
        <v>79</v>
      </c>
      <c r="B46" s="17" t="s">
        <v>80</v>
      </c>
      <c r="C46" s="18">
        <f>0</f>
        <v>0</v>
      </c>
      <c r="D46" s="18">
        <f>0</f>
        <v>0</v>
      </c>
      <c r="E46" s="18">
        <f>0</f>
        <v>0</v>
      </c>
      <c r="F46" s="18">
        <f>0</f>
        <v>0</v>
      </c>
      <c r="G46" s="18">
        <f>0</f>
        <v>0</v>
      </c>
      <c r="H46" s="19">
        <f>0</f>
        <v>0</v>
      </c>
      <c r="I46" s="19">
        <f>0</f>
        <v>0</v>
      </c>
      <c r="J46" s="20">
        <f>0</f>
        <v>0</v>
      </c>
      <c r="K46" s="21">
        <f>0</f>
        <v>0</v>
      </c>
      <c r="L46" s="22">
        <f>0</f>
        <v>0</v>
      </c>
      <c r="M46" s="22">
        <f>0</f>
        <v>0</v>
      </c>
      <c r="N46" s="22">
        <f>0</f>
        <v>0</v>
      </c>
      <c r="O46" s="22">
        <f>0</f>
        <v>0</v>
      </c>
      <c r="P46" s="22">
        <f>0</f>
        <v>0</v>
      </c>
      <c r="Q46" s="22">
        <f>0</f>
        <v>0</v>
      </c>
    </row>
    <row r="47">
      <c r="A47" s="16" t="s">
        <v>81</v>
      </c>
      <c r="B47" s="17" t="s">
        <v>82</v>
      </c>
      <c r="C47" s="18">
        <f>0</f>
        <v>0</v>
      </c>
      <c r="D47" s="18">
        <f>0</f>
        <v>0</v>
      </c>
      <c r="E47" s="18">
        <f>0</f>
        <v>0</v>
      </c>
      <c r="F47" s="18">
        <f>0</f>
        <v>0</v>
      </c>
      <c r="G47" s="18">
        <f>0</f>
        <v>0</v>
      </c>
      <c r="H47" s="19">
        <f>0</f>
        <v>0</v>
      </c>
      <c r="I47" s="19">
        <f>0</f>
        <v>0</v>
      </c>
      <c r="J47" s="20">
        <f>0</f>
        <v>0</v>
      </c>
      <c r="K47" s="21">
        <f>0</f>
        <v>0</v>
      </c>
      <c r="L47" s="22">
        <f>0</f>
        <v>0</v>
      </c>
      <c r="M47" s="22">
        <f>0</f>
        <v>0</v>
      </c>
      <c r="N47" s="22">
        <f>0</f>
        <v>0</v>
      </c>
      <c r="O47" s="22">
        <f>0</f>
        <v>0</v>
      </c>
      <c r="P47" s="22">
        <f>0</f>
        <v>0</v>
      </c>
      <c r="Q47" s="22">
        <f>0</f>
        <v>0</v>
      </c>
    </row>
    <row r="48">
      <c r="A48" s="16" t="s">
        <v>83</v>
      </c>
      <c r="B48" s="17" t="s">
        <v>84</v>
      </c>
      <c r="C48" s="18">
        <f>0</f>
        <v>0</v>
      </c>
      <c r="D48" s="18">
        <f>0</f>
        <v>0</v>
      </c>
      <c r="E48" s="18">
        <f>0</f>
        <v>0</v>
      </c>
      <c r="F48" s="18">
        <f>0</f>
        <v>0</v>
      </c>
      <c r="G48" s="18">
        <f>0</f>
        <v>0</v>
      </c>
      <c r="H48" s="19">
        <f>0</f>
        <v>0</v>
      </c>
      <c r="I48" s="19">
        <f>0</f>
        <v>0</v>
      </c>
      <c r="J48" s="20">
        <f>0</f>
        <v>0</v>
      </c>
      <c r="K48" s="21">
        <f>0</f>
        <v>0</v>
      </c>
      <c r="L48" s="22">
        <f>0</f>
        <v>0</v>
      </c>
      <c r="M48" s="22">
        <f>0</f>
        <v>0</v>
      </c>
      <c r="N48" s="22">
        <f>0</f>
        <v>0</v>
      </c>
      <c r="O48" s="22">
        <f>0</f>
        <v>0</v>
      </c>
      <c r="P48" s="22">
        <f>0</f>
        <v>0</v>
      </c>
      <c r="Q48" s="22">
        <f>0</f>
        <v>0</v>
      </c>
    </row>
    <row r="49">
      <c r="A49" s="16" t="s">
        <v>85</v>
      </c>
      <c r="B49" s="17" t="s">
        <v>86</v>
      </c>
      <c r="C49" s="18">
        <f>0</f>
        <v>0</v>
      </c>
      <c r="D49" s="18">
        <f>0</f>
        <v>0</v>
      </c>
      <c r="E49" s="18">
        <f>0</f>
        <v>0</v>
      </c>
      <c r="F49" s="18">
        <f>0</f>
        <v>0</v>
      </c>
      <c r="G49" s="18">
        <f>0</f>
        <v>0</v>
      </c>
      <c r="H49" s="19">
        <f>0</f>
        <v>0</v>
      </c>
      <c r="I49" s="19">
        <f>0</f>
        <v>0</v>
      </c>
      <c r="J49" s="20">
        <f>0</f>
        <v>0</v>
      </c>
      <c r="K49" s="21">
        <f>0</f>
        <v>0</v>
      </c>
      <c r="L49" s="22">
        <f>0</f>
        <v>0</v>
      </c>
      <c r="M49" s="22">
        <f>0</f>
        <v>0</v>
      </c>
      <c r="N49" s="22">
        <f>0</f>
        <v>0</v>
      </c>
      <c r="O49" s="22">
        <f>0</f>
        <v>0</v>
      </c>
      <c r="P49" s="22">
        <f>0</f>
        <v>0</v>
      </c>
      <c r="Q49" s="22">
        <f>0</f>
        <v>0</v>
      </c>
    </row>
    <row r="50">
      <c r="A50" s="23" t="s">
        <v>87</v>
      </c>
      <c r="B50" s="24" t="s">
        <v>88</v>
      </c>
      <c r="C50" s="25">
        <f>4240650</f>
        <v>4240650</v>
      </c>
      <c r="D50" s="25">
        <f>3104790</f>
        <v>3104790</v>
      </c>
      <c r="E50" s="25">
        <f>1997690</f>
        <v>1997690</v>
      </c>
      <c r="F50" s="25">
        <f>2369950</f>
        <v>2369950</v>
      </c>
      <c r="G50" s="25">
        <f>4229950</f>
        <v>4229950</v>
      </c>
      <c r="H50" s="26">
        <f>2789950</f>
        <v>2789950</v>
      </c>
      <c r="I50" s="26">
        <f>5589950</f>
        <v>5589950</v>
      </c>
      <c r="J50" s="27">
        <f>5589950</f>
        <v>5589950</v>
      </c>
      <c r="K50" s="28">
        <f>6589950</f>
        <v>6589950</v>
      </c>
      <c r="L50" s="29">
        <f>5619950</f>
        <v>5619950</v>
      </c>
      <c r="M50" s="29">
        <f>4409950</f>
        <v>4409950</v>
      </c>
      <c r="N50" s="29">
        <f>3209950</f>
        <v>3209950</v>
      </c>
      <c r="O50" s="29">
        <f>2209950</f>
        <v>2209950</v>
      </c>
      <c r="P50" s="29">
        <f>1050000</f>
        <v>1050000</v>
      </c>
      <c r="Q50" s="29">
        <f>0</f>
        <v>0</v>
      </c>
    </row>
    <row r="51">
      <c r="A51" s="16" t="s">
        <v>89</v>
      </c>
      <c r="B51" s="17" t="s">
        <v>90</v>
      </c>
      <c r="C51" s="18">
        <f>0</f>
        <v>0</v>
      </c>
      <c r="D51" s="18">
        <f>0</f>
        <v>0</v>
      </c>
      <c r="E51" s="18">
        <f>0</f>
        <v>0</v>
      </c>
      <c r="F51" s="18">
        <f>0</f>
        <v>0</v>
      </c>
      <c r="G51" s="18">
        <f>0</f>
        <v>0</v>
      </c>
      <c r="H51" s="19">
        <f>0</f>
        <v>0</v>
      </c>
      <c r="I51" s="19">
        <f>0</f>
        <v>0</v>
      </c>
      <c r="J51" s="20">
        <f>0</f>
        <v>0</v>
      </c>
      <c r="K51" s="21">
        <f>0</f>
        <v>0</v>
      </c>
      <c r="L51" s="22">
        <f>0</f>
        <v>0</v>
      </c>
      <c r="M51" s="22">
        <f>0</f>
        <v>0</v>
      </c>
      <c r="N51" s="22">
        <f>0</f>
        <v>0</v>
      </c>
      <c r="O51" s="22">
        <f>0</f>
        <v>0</v>
      </c>
      <c r="P51" s="22">
        <f>0</f>
        <v>0</v>
      </c>
      <c r="Q51" s="22">
        <f>0</f>
        <v>0</v>
      </c>
    </row>
    <row r="52">
      <c r="A52" s="23">
        <v>7</v>
      </c>
      <c r="B52" s="24" t="s">
        <v>91</v>
      </c>
      <c r="C52" s="30" t="s">
        <v>92</v>
      </c>
      <c r="D52" s="30" t="s">
        <v>92</v>
      </c>
      <c r="E52" s="30" t="s">
        <v>92</v>
      </c>
      <c r="F52" s="30" t="s">
        <v>92</v>
      </c>
      <c r="G52" s="30" t="s">
        <v>92</v>
      </c>
      <c r="H52" s="31" t="s">
        <v>92</v>
      </c>
      <c r="I52" s="31" t="s">
        <v>92</v>
      </c>
      <c r="J52" s="32" t="s">
        <v>92</v>
      </c>
      <c r="K52" s="33" t="s">
        <v>92</v>
      </c>
      <c r="L52" s="34" t="s">
        <v>92</v>
      </c>
      <c r="M52" s="34" t="s">
        <v>92</v>
      </c>
      <c r="N52" s="34" t="s">
        <v>92</v>
      </c>
      <c r="O52" s="34" t="s">
        <v>92</v>
      </c>
      <c r="P52" s="34" t="s">
        <v>92</v>
      </c>
      <c r="Q52" s="34" t="s">
        <v>92</v>
      </c>
    </row>
    <row r="53">
      <c r="A53" s="35" t="s">
        <v>93</v>
      </c>
      <c r="B53" s="36" t="s">
        <v>94</v>
      </c>
      <c r="C53" s="18">
        <f>1840067.61</f>
        <v>1840067.6100000001</v>
      </c>
      <c r="D53" s="18">
        <f>2642308.7</f>
        <v>2642308.7000000002</v>
      </c>
      <c r="E53" s="18">
        <f>2474066.16</f>
        <v>2474066.1600000001</v>
      </c>
      <c r="F53" s="18">
        <f>2605388.23</f>
        <v>2605388.23</v>
      </c>
      <c r="G53" s="18">
        <f>362554.03</f>
        <v>362554.03000000003</v>
      </c>
      <c r="H53" s="19">
        <f>235249.37</f>
        <v>235249.37</v>
      </c>
      <c r="I53" s="19">
        <f>1185342.57</f>
        <v>1185342.5700000001</v>
      </c>
      <c r="J53" s="20">
        <f>163166.21</f>
        <v>163166.20999999999</v>
      </c>
      <c r="K53" s="21">
        <f>1491579.21</f>
        <v>1491579.21</v>
      </c>
      <c r="L53" s="22">
        <f>970000</f>
        <v>970000</v>
      </c>
      <c r="M53" s="22">
        <f>1210000</f>
        <v>1210000</v>
      </c>
      <c r="N53" s="22">
        <f>1200000</f>
        <v>1200000</v>
      </c>
      <c r="O53" s="22">
        <f>1000000</f>
        <v>1000000</v>
      </c>
      <c r="P53" s="22">
        <f>1159950</f>
        <v>1159950</v>
      </c>
      <c r="Q53" s="22">
        <f>1050000</f>
        <v>1050000</v>
      </c>
    </row>
    <row r="54">
      <c r="A54" s="16" t="s">
        <v>95</v>
      </c>
      <c r="B54" s="17" t="s">
        <v>96</v>
      </c>
      <c r="C54" s="18">
        <f>1861702.61</f>
        <v>1861702.6100000001</v>
      </c>
      <c r="D54" s="18">
        <f>2916496.11</f>
        <v>2916496.1099999999</v>
      </c>
      <c r="E54" s="18">
        <f>2781875.69</f>
        <v>2781875.6899999999</v>
      </c>
      <c r="F54" s="18">
        <f>8480976.94</f>
        <v>8480976.9399999995</v>
      </c>
      <c r="G54" s="18">
        <f>2550524.25</f>
        <v>2550524.25</v>
      </c>
      <c r="H54" s="19">
        <f>283608.21</f>
        <v>283608.21000000002</v>
      </c>
      <c r="I54" s="19">
        <f>4676440.14</f>
        <v>4676440.1399999997</v>
      </c>
      <c r="J54" s="20">
        <f>3654263.78</f>
        <v>3654263.7799999998</v>
      </c>
      <c r="K54" s="21">
        <f>1491579.21</f>
        <v>1491579.21</v>
      </c>
      <c r="L54" s="22">
        <f>970000</f>
        <v>970000</v>
      </c>
      <c r="M54" s="22">
        <f>1210000</f>
        <v>1210000</v>
      </c>
      <c r="N54" s="22">
        <f>1200000</f>
        <v>1200000</v>
      </c>
      <c r="O54" s="22">
        <f>1000000</f>
        <v>1000000</v>
      </c>
      <c r="P54" s="22">
        <f>1159950</f>
        <v>1159950</v>
      </c>
      <c r="Q54" s="22">
        <f>1050000</f>
        <v>1050000</v>
      </c>
    </row>
    <row r="55">
      <c r="A55" s="23">
        <v>8</v>
      </c>
      <c r="B55" s="24" t="s">
        <v>97</v>
      </c>
      <c r="C55" s="30" t="s">
        <v>92</v>
      </c>
      <c r="D55" s="30" t="s">
        <v>92</v>
      </c>
      <c r="E55" s="30" t="s">
        <v>92</v>
      </c>
      <c r="F55" s="30" t="s">
        <v>92</v>
      </c>
      <c r="G55" s="30" t="s">
        <v>92</v>
      </c>
      <c r="H55" s="31" t="s">
        <v>92</v>
      </c>
      <c r="I55" s="31" t="s">
        <v>92</v>
      </c>
      <c r="J55" s="32" t="s">
        <v>92</v>
      </c>
      <c r="K55" s="33" t="s">
        <v>92</v>
      </c>
      <c r="L55" s="34" t="s">
        <v>92</v>
      </c>
      <c r="M55" s="34" t="s">
        <v>92</v>
      </c>
      <c r="N55" s="34" t="s">
        <v>92</v>
      </c>
      <c r="O55" s="34" t="s">
        <v>92</v>
      </c>
      <c r="P55" s="34" t="s">
        <v>92</v>
      </c>
      <c r="Q55" s="34" t="s">
        <v>92</v>
      </c>
    </row>
    <row r="56">
      <c r="A56" s="16" t="s">
        <v>98</v>
      </c>
      <c r="B56" s="17" t="s">
        <v>99</v>
      </c>
      <c r="C56" s="30" t="s">
        <v>92</v>
      </c>
      <c r="D56" s="30" t="s">
        <v>92</v>
      </c>
      <c r="E56" s="30" t="s">
        <v>92</v>
      </c>
      <c r="F56" s="30" t="s">
        <v>92</v>
      </c>
      <c r="G56" s="30" t="s">
        <v>92</v>
      </c>
      <c r="H56" s="31" t="s">
        <v>92</v>
      </c>
      <c r="I56" s="31" t="s">
        <v>92</v>
      </c>
      <c r="J56" s="32" t="s">
        <v>92</v>
      </c>
      <c r="K56" s="37">
        <f>0.0453</f>
        <v>0.0453</v>
      </c>
      <c r="L56" s="38">
        <f>0.0382</f>
        <v>0.038199999999999998</v>
      </c>
      <c r="M56" s="38">
        <f>0.0438</f>
        <v>0.043799999999999999</v>
      </c>
      <c r="N56" s="38">
        <f>0.0416</f>
        <v>0.041599999999999998</v>
      </c>
      <c r="O56" s="38">
        <f>0.0277</f>
        <v>0.027699999999999999</v>
      </c>
      <c r="P56" s="38">
        <f>0.0287</f>
        <v>0.0287</v>
      </c>
      <c r="Q56" s="38">
        <f>0.0256</f>
        <v>0.025600000000000001</v>
      </c>
    </row>
    <row r="57">
      <c r="A57" s="16" t="s">
        <v>100</v>
      </c>
      <c r="B57" s="17" t="s">
        <v>100</v>
      </c>
      <c r="C57" s="30" t="s">
        <v>92</v>
      </c>
      <c r="D57" s="30" t="s">
        <v>92</v>
      </c>
      <c r="E57" s="30" t="s">
        <v>92</v>
      </c>
      <c r="F57" s="30" t="s">
        <v>92</v>
      </c>
      <c r="G57" s="30" t="s">
        <v>92</v>
      </c>
      <c r="H57" s="31" t="s">
        <v>92</v>
      </c>
      <c r="I57" s="31" t="s">
        <v>92</v>
      </c>
      <c r="J57" s="32" t="s">
        <v>92</v>
      </c>
      <c r="K57" s="37">
        <f>0.0453</f>
        <v>0.0453</v>
      </c>
      <c r="L57" s="38">
        <f>0.0382</f>
        <v>0.038199999999999998</v>
      </c>
      <c r="M57" s="38">
        <f>0.0438</f>
        <v>0.043799999999999999</v>
      </c>
      <c r="N57" s="38">
        <f>0.0416</f>
        <v>0.041599999999999998</v>
      </c>
      <c r="O57" s="38">
        <f>0.0277</f>
        <v>0.027699999999999999</v>
      </c>
      <c r="P57" s="38">
        <f>0.0287</f>
        <v>0.0287</v>
      </c>
      <c r="Q57" s="38">
        <f>0.0256</f>
        <v>0.025600000000000001</v>
      </c>
    </row>
    <row r="58">
      <c r="A58" s="16" t="s">
        <v>101</v>
      </c>
      <c r="B58" s="17" t="s">
        <v>101</v>
      </c>
      <c r="C58" s="30" t="s">
        <v>92</v>
      </c>
      <c r="D58" s="30" t="s">
        <v>92</v>
      </c>
      <c r="E58" s="30" t="s">
        <v>92</v>
      </c>
      <c r="F58" s="30" t="s">
        <v>92</v>
      </c>
      <c r="G58" s="30" t="s">
        <v>92</v>
      </c>
      <c r="H58" s="31" t="s">
        <v>92</v>
      </c>
      <c r="I58" s="31" t="s">
        <v>92</v>
      </c>
      <c r="J58" s="32" t="s">
        <v>92</v>
      </c>
      <c r="K58" s="37">
        <f>0.0453</f>
        <v>0.0453</v>
      </c>
      <c r="L58" s="38">
        <f>0.0382</f>
        <v>0.038199999999999998</v>
      </c>
      <c r="M58" s="38">
        <f>0.0438</f>
        <v>0.043799999999999999</v>
      </c>
      <c r="N58" s="38">
        <f>0.0416</f>
        <v>0.041599999999999998</v>
      </c>
      <c r="O58" s="38">
        <f>0.0277</f>
        <v>0.027699999999999999</v>
      </c>
      <c r="P58" s="38">
        <f>0.0287</f>
        <v>0.0287</v>
      </c>
      <c r="Q58" s="38">
        <f>0.0256</f>
        <v>0.025600000000000001</v>
      </c>
    </row>
    <row r="59">
      <c r="A59" s="16" t="s">
        <v>102</v>
      </c>
      <c r="B59" s="17" t="s">
        <v>102</v>
      </c>
      <c r="C59" s="30" t="s">
        <v>92</v>
      </c>
      <c r="D59" s="30" t="s">
        <v>92</v>
      </c>
      <c r="E59" s="30" t="s">
        <v>92</v>
      </c>
      <c r="F59" s="30" t="s">
        <v>92</v>
      </c>
      <c r="G59" s="30" t="s">
        <v>92</v>
      </c>
      <c r="H59" s="31" t="s">
        <v>92</v>
      </c>
      <c r="I59" s="31" t="s">
        <v>92</v>
      </c>
      <c r="J59" s="32" t="s">
        <v>92</v>
      </c>
      <c r="K59" s="37">
        <f>0.0453</f>
        <v>0.0453</v>
      </c>
      <c r="L59" s="38">
        <f>0.0382</f>
        <v>0.038199999999999998</v>
      </c>
      <c r="M59" s="38">
        <f>0.0438</f>
        <v>0.043799999999999999</v>
      </c>
      <c r="N59" s="38">
        <f>0.0416</f>
        <v>0.041599999999999998</v>
      </c>
      <c r="O59" s="38">
        <f>0</f>
        <v>0</v>
      </c>
      <c r="P59" s="38">
        <f>0</f>
        <v>0</v>
      </c>
      <c r="Q59" s="38">
        <f>0</f>
        <v>0</v>
      </c>
    </row>
    <row r="60">
      <c r="A60" s="16" t="s">
        <v>103</v>
      </c>
      <c r="B60" s="17" t="s">
        <v>104</v>
      </c>
      <c r="C60" s="39">
        <f>0.1109</f>
        <v>0.1109</v>
      </c>
      <c r="D60" s="39">
        <f>0.1505</f>
        <v>0.15049999999999999</v>
      </c>
      <c r="E60" s="39">
        <f>0.1219</f>
        <v>0.12189999999999999</v>
      </c>
      <c r="F60" s="39">
        <f>0.1221</f>
        <v>0.1221</v>
      </c>
      <c r="G60" s="39">
        <f>0.025</f>
        <v>0.025000000000000001</v>
      </c>
      <c r="H60" s="40">
        <f>0.0169</f>
        <v>0.016899999999999998</v>
      </c>
      <c r="I60" s="40">
        <f>0.0485</f>
        <v>0.048500000000000001</v>
      </c>
      <c r="J60" s="41">
        <f>0.0161</f>
        <v>0.0161</v>
      </c>
      <c r="K60" s="37">
        <f>0.059</f>
        <v>0.058999999999999997</v>
      </c>
      <c r="L60" s="38">
        <f>0.0382</f>
        <v>0.038199999999999998</v>
      </c>
      <c r="M60" s="38">
        <f>0.0438</f>
        <v>0.043799999999999999</v>
      </c>
      <c r="N60" s="38">
        <f>0.0416</f>
        <v>0.041599999999999998</v>
      </c>
      <c r="O60" s="38">
        <f>0.0277</f>
        <v>0.027699999999999999</v>
      </c>
      <c r="P60" s="38">
        <f>0.0287</f>
        <v>0.0287</v>
      </c>
      <c r="Q60" s="38">
        <f>0.0256</f>
        <v>0.025600000000000001</v>
      </c>
    </row>
    <row r="61">
      <c r="A61" s="16" t="s">
        <v>105</v>
      </c>
      <c r="B61" s="17" t="s">
        <v>105</v>
      </c>
      <c r="C61" s="39">
        <f>0.1109</f>
        <v>0.1109</v>
      </c>
      <c r="D61" s="39">
        <f>0.1505</f>
        <v>0.15049999999999999</v>
      </c>
      <c r="E61" s="39">
        <f>0.1219</f>
        <v>0.12189999999999999</v>
      </c>
      <c r="F61" s="39">
        <f>0.1221</f>
        <v>0.1221</v>
      </c>
      <c r="G61" s="39">
        <f>0.025</f>
        <v>0.025000000000000001</v>
      </c>
      <c r="H61" s="40">
        <f>0.0169</f>
        <v>0.016899999999999998</v>
      </c>
      <c r="I61" s="40">
        <f>0.0485</f>
        <v>0.048500000000000001</v>
      </c>
      <c r="J61" s="41">
        <f>0.0161</f>
        <v>0.0161</v>
      </c>
      <c r="K61" s="37">
        <f>0</f>
        <v>0</v>
      </c>
      <c r="L61" s="38">
        <f>0</f>
        <v>0</v>
      </c>
      <c r="M61" s="38">
        <f>0</f>
        <v>0</v>
      </c>
      <c r="N61" s="38">
        <f>0</f>
        <v>0</v>
      </c>
      <c r="O61" s="38">
        <f>0</f>
        <v>0</v>
      </c>
      <c r="P61" s="38">
        <f>0</f>
        <v>0</v>
      </c>
      <c r="Q61" s="38">
        <f>0</f>
        <v>0</v>
      </c>
    </row>
    <row r="62">
      <c r="A62" s="16" t="s">
        <v>106</v>
      </c>
      <c r="B62" s="17" t="s">
        <v>106</v>
      </c>
      <c r="C62" s="39">
        <f>0.1109</f>
        <v>0.1109</v>
      </c>
      <c r="D62" s="39">
        <f>0.1505</f>
        <v>0.15049999999999999</v>
      </c>
      <c r="E62" s="39">
        <f>0.1198</f>
        <v>0.1198</v>
      </c>
      <c r="F62" s="39">
        <f>0.1221</f>
        <v>0.1221</v>
      </c>
      <c r="G62" s="39">
        <f>0.025</f>
        <v>0.025000000000000001</v>
      </c>
      <c r="H62" s="40">
        <f>0.0169</f>
        <v>0.016899999999999998</v>
      </c>
      <c r="I62" s="40">
        <f>0.0485</f>
        <v>0.048500000000000001</v>
      </c>
      <c r="J62" s="41">
        <f>0.0161</f>
        <v>0.0161</v>
      </c>
      <c r="K62" s="37">
        <f>0.059</f>
        <v>0.058999999999999997</v>
      </c>
      <c r="L62" s="38">
        <f>0.0382</f>
        <v>0.038199999999999998</v>
      </c>
      <c r="M62" s="38">
        <f>0.0438</f>
        <v>0.043799999999999999</v>
      </c>
      <c r="N62" s="38">
        <f>0.0416</f>
        <v>0.041599999999999998</v>
      </c>
      <c r="O62" s="38">
        <f>0.0277</f>
        <v>0.027699999999999999</v>
      </c>
      <c r="P62" s="38">
        <f>0.0287</f>
        <v>0.0287</v>
      </c>
      <c r="Q62" s="38">
        <f>0.0256</f>
        <v>0.025600000000000001</v>
      </c>
    </row>
    <row r="63">
      <c r="A63" s="16" t="s">
        <v>107</v>
      </c>
      <c r="B63" s="17" t="s">
        <v>108</v>
      </c>
      <c r="C63" s="30" t="s">
        <v>92</v>
      </c>
      <c r="D63" s="30" t="s">
        <v>92</v>
      </c>
      <c r="E63" s="30" t="s">
        <v>92</v>
      </c>
      <c r="F63" s="30" t="s">
        <v>92</v>
      </c>
      <c r="G63" s="30" t="s">
        <v>92</v>
      </c>
      <c r="H63" s="31" t="s">
        <v>92</v>
      </c>
      <c r="I63" s="31" t="s">
        <v>92</v>
      </c>
      <c r="J63" s="32" t="s">
        <v>92</v>
      </c>
      <c r="K63" s="37">
        <f>0.0851</f>
        <v>0.085099999999999995</v>
      </c>
      <c r="L63" s="38">
        <f>0.0777</f>
        <v>0.077700000000000005</v>
      </c>
      <c r="M63" s="38">
        <f>0.0617</f>
        <v>0.061699999999999998</v>
      </c>
      <c r="N63" s="38">
        <f>0.0505</f>
        <v>0.050500000000000003</v>
      </c>
      <c r="O63" s="38">
        <f>0.039</f>
        <v>0.039</v>
      </c>
      <c r="P63" s="38">
        <f>0.0394</f>
        <v>0.039399999999999998</v>
      </c>
      <c r="Q63" s="38">
        <f>0.0411</f>
        <v>0.041099999999999998</v>
      </c>
    </row>
    <row r="64">
      <c r="A64" s="16" t="s">
        <v>109</v>
      </c>
      <c r="B64" s="17" t="s">
        <v>110</v>
      </c>
      <c r="C64" s="30" t="s">
        <v>92</v>
      </c>
      <c r="D64" s="30" t="s">
        <v>92</v>
      </c>
      <c r="E64" s="30" t="s">
        <v>92</v>
      </c>
      <c r="F64" s="30" t="s">
        <v>92</v>
      </c>
      <c r="G64" s="30" t="s">
        <v>92</v>
      </c>
      <c r="H64" s="31" t="s">
        <v>92</v>
      </c>
      <c r="I64" s="31" t="s">
        <v>92</v>
      </c>
      <c r="J64" s="32" t="s">
        <v>92</v>
      </c>
      <c r="K64" s="37">
        <f>0.0805</f>
        <v>0.080500000000000002</v>
      </c>
      <c r="L64" s="38">
        <f>0.0731</f>
        <v>0.073099999999999998</v>
      </c>
      <c r="M64" s="38">
        <f>0.057</f>
        <v>0.057000000000000002</v>
      </c>
      <c r="N64" s="38">
        <f>0.0459</f>
        <v>0.045900000000000003</v>
      </c>
      <c r="O64" s="38">
        <f>0.0344</f>
        <v>0.0344</v>
      </c>
      <c r="P64" s="38">
        <f>0.0348</f>
        <v>0.034799999999999998</v>
      </c>
      <c r="Q64" s="38">
        <f>0.0364</f>
        <v>0.036400000000000002</v>
      </c>
    </row>
    <row r="65">
      <c r="A65" s="16" t="s">
        <v>111</v>
      </c>
      <c r="B65" s="17" t="s">
        <v>112</v>
      </c>
      <c r="C65" s="30" t="s">
        <v>92</v>
      </c>
      <c r="D65" s="30" t="s">
        <v>92</v>
      </c>
      <c r="E65" s="30" t="s">
        <v>92</v>
      </c>
      <c r="F65" s="30" t="s">
        <v>92</v>
      </c>
      <c r="G65" s="30" t="s">
        <v>92</v>
      </c>
      <c r="H65" s="31" t="s">
        <v>92</v>
      </c>
      <c r="I65" s="31" t="s">
        <v>92</v>
      </c>
      <c r="J65" s="32" t="s">
        <v>92</v>
      </c>
      <c r="K65" s="42" t="str">
        <f>IF(K56&lt;=K63,"Spełniona","Nie spełniona")</f>
        <v>Spełniona</v>
      </c>
      <c r="L65" s="42" t="str">
        <f>IF(L56&lt;=L63,"Spełniona","Nie spełniona")</f>
        <v>Spełniona</v>
      </c>
      <c r="M65" s="42" t="str">
        <f>IF(M56&lt;=M63,"Spełniona","Nie spełniona")</f>
        <v>Spełniona</v>
      </c>
      <c r="N65" s="42" t="str">
        <f>IF(N56&lt;=N63,"Spełniona","Nie spełniona")</f>
        <v>Spełniona</v>
      </c>
      <c r="O65" s="42" t="str">
        <f>IF(O56&lt;=O63,"Spełniona","Nie spełniona")</f>
        <v>Spełniona</v>
      </c>
      <c r="P65" s="42" t="str">
        <f>IF(P56&lt;=P63,"Spełniona","Nie spełniona")</f>
        <v>Spełniona</v>
      </c>
      <c r="Q65" s="42" t="str">
        <f>IF(Q56&lt;=Q63,"Spełniona","Nie spełniona")</f>
        <v>Spełniona</v>
      </c>
    </row>
    <row r="66">
      <c r="A66" s="16" t="s">
        <v>113</v>
      </c>
      <c r="B66" s="17" t="s">
        <v>114</v>
      </c>
      <c r="C66" s="30" t="s">
        <v>92</v>
      </c>
      <c r="D66" s="30" t="s">
        <v>92</v>
      </c>
      <c r="E66" s="30" t="s">
        <v>92</v>
      </c>
      <c r="F66" s="30" t="s">
        <v>92</v>
      </c>
      <c r="G66" s="30" t="s">
        <v>92</v>
      </c>
      <c r="H66" s="31" t="s">
        <v>92</v>
      </c>
      <c r="I66" s="31" t="s">
        <v>92</v>
      </c>
      <c r="J66" s="32" t="s">
        <v>92</v>
      </c>
      <c r="K66" s="42" t="str">
        <f>IF(K56&lt;=K64,"Spełniona","Nie spełniona")</f>
        <v>Spełniona</v>
      </c>
      <c r="L66" s="42" t="str">
        <f>IF(L56&lt;=L64,"Spełniona","Nie spełniona")</f>
        <v>Spełniona</v>
      </c>
      <c r="M66" s="42" t="str">
        <f>IF(M56&lt;=M64,"Spełniona","Nie spełniona")</f>
        <v>Spełniona</v>
      </c>
      <c r="N66" s="42" t="str">
        <f>IF(N56&lt;=N64,"Spełniona","Nie spełniona")</f>
        <v>Spełniona</v>
      </c>
      <c r="O66" s="42" t="str">
        <f>IF(O56&lt;=O64,"Spełniona","Nie spełniona")</f>
        <v>Spełniona</v>
      </c>
      <c r="P66" s="42" t="str">
        <f>IF(P56&lt;=P64,"Spełniona","Nie spełniona")</f>
        <v>Spełniona</v>
      </c>
      <c r="Q66" s="42" t="str">
        <f>IF(Q56&lt;=Q64,"Spełniona","Nie spełniona")</f>
        <v>Spełniona</v>
      </c>
    </row>
    <row r="67">
      <c r="A67" s="16" t="s">
        <v>115</v>
      </c>
      <c r="B67" s="17" t="s">
        <v>116</v>
      </c>
      <c r="C67" s="30" t="s">
        <v>92</v>
      </c>
      <c r="D67" s="30" t="s">
        <v>92</v>
      </c>
      <c r="E67" s="30" t="s">
        <v>92</v>
      </c>
      <c r="F67" s="30" t="s">
        <v>92</v>
      </c>
      <c r="G67" s="30" t="s">
        <v>92</v>
      </c>
      <c r="H67" s="31" t="s">
        <v>92</v>
      </c>
      <c r="I67" s="31" t="s">
        <v>92</v>
      </c>
      <c r="J67" s="32" t="s">
        <v>92</v>
      </c>
      <c r="K67" s="37">
        <f>0.1975</f>
        <v>0.19750000000000001</v>
      </c>
      <c r="L67" s="38">
        <f>0.176</f>
        <v>0.17599999999999999</v>
      </c>
      <c r="M67" s="38">
        <f>0.1371</f>
        <v>0.1371</v>
      </c>
      <c r="N67" s="38">
        <f>0.0989</f>
        <v>0.098900000000000002</v>
      </c>
      <c r="O67" s="38">
        <f>0</f>
        <v>0</v>
      </c>
      <c r="P67" s="38">
        <f>0</f>
        <v>0</v>
      </c>
      <c r="Q67" s="38">
        <f>0</f>
        <v>0</v>
      </c>
    </row>
    <row r="68">
      <c r="A68" s="23">
        <v>9</v>
      </c>
      <c r="B68" s="24" t="s">
        <v>117</v>
      </c>
      <c r="C68" s="30" t="s">
        <v>92</v>
      </c>
      <c r="D68" s="30" t="s">
        <v>92</v>
      </c>
      <c r="E68" s="30" t="s">
        <v>92</v>
      </c>
      <c r="F68" s="30" t="s">
        <v>92</v>
      </c>
      <c r="G68" s="30" t="s">
        <v>92</v>
      </c>
      <c r="H68" s="31" t="s">
        <v>92</v>
      </c>
      <c r="I68" s="31" t="s">
        <v>92</v>
      </c>
      <c r="J68" s="32" t="s">
        <v>92</v>
      </c>
      <c r="K68" s="33" t="s">
        <v>92</v>
      </c>
      <c r="L68" s="34" t="s">
        <v>92</v>
      </c>
      <c r="M68" s="34" t="s">
        <v>92</v>
      </c>
      <c r="N68" s="34" t="s">
        <v>92</v>
      </c>
      <c r="O68" s="34" t="s">
        <v>92</v>
      </c>
      <c r="P68" s="34" t="s">
        <v>92</v>
      </c>
      <c r="Q68" s="34" t="s">
        <v>92</v>
      </c>
    </row>
    <row r="69">
      <c r="A69" s="16" t="s">
        <v>118</v>
      </c>
      <c r="B69" s="17" t="s">
        <v>119</v>
      </c>
      <c r="C69" s="18">
        <f>0</f>
        <v>0</v>
      </c>
      <c r="D69" s="18">
        <f>231562</f>
        <v>231562</v>
      </c>
      <c r="E69" s="18">
        <f>124921</f>
        <v>124921</v>
      </c>
      <c r="F69" s="18">
        <f>604480.47</f>
        <v>604480.46999999997</v>
      </c>
      <c r="G69" s="18">
        <f>150000</f>
        <v>150000</v>
      </c>
      <c r="H69" s="19">
        <f>134892.51</f>
        <v>134892.51000000001</v>
      </c>
      <c r="I69" s="19">
        <f>342438.01</f>
        <v>342438.01000000001</v>
      </c>
      <c r="J69" s="20">
        <f>342438.01</f>
        <v>342438.01000000001</v>
      </c>
      <c r="K69" s="21">
        <f>141739.51</f>
        <v>141739.51000000001</v>
      </c>
      <c r="L69" s="22">
        <f>0</f>
        <v>0</v>
      </c>
      <c r="M69" s="22">
        <f>0</f>
        <v>0</v>
      </c>
      <c r="N69" s="22">
        <f>0</f>
        <v>0</v>
      </c>
      <c r="O69" s="22">
        <f>0</f>
        <v>0</v>
      </c>
      <c r="P69" s="22">
        <f>0</f>
        <v>0</v>
      </c>
      <c r="Q69" s="22">
        <f>0</f>
        <v>0</v>
      </c>
    </row>
    <row r="70">
      <c r="A70" s="16" t="s">
        <v>120</v>
      </c>
      <c r="B70" s="17" t="s">
        <v>121</v>
      </c>
      <c r="C70" s="18">
        <f>0</f>
        <v>0</v>
      </c>
      <c r="D70" s="18">
        <f>231562</f>
        <v>231562</v>
      </c>
      <c r="E70" s="18">
        <f>124921</f>
        <v>124921</v>
      </c>
      <c r="F70" s="18">
        <f>604480.47</f>
        <v>604480.46999999997</v>
      </c>
      <c r="G70" s="18">
        <f>150000</f>
        <v>150000</v>
      </c>
      <c r="H70" s="19">
        <f>134892.51</f>
        <v>134892.51000000001</v>
      </c>
      <c r="I70" s="19">
        <f>342438.01</f>
        <v>342438.01000000001</v>
      </c>
      <c r="J70" s="20">
        <f>342438.01</f>
        <v>342438.01000000001</v>
      </c>
      <c r="K70" s="21">
        <f>141739.51</f>
        <v>141739.51000000001</v>
      </c>
      <c r="L70" s="22">
        <f>0</f>
        <v>0</v>
      </c>
      <c r="M70" s="22">
        <f>0</f>
        <v>0</v>
      </c>
      <c r="N70" s="22">
        <f>0</f>
        <v>0</v>
      </c>
      <c r="O70" s="22">
        <f>0</f>
        <v>0</v>
      </c>
      <c r="P70" s="22">
        <f>0</f>
        <v>0</v>
      </c>
      <c r="Q70" s="22">
        <f>0</f>
        <v>0</v>
      </c>
    </row>
    <row r="71">
      <c r="A71" s="16" t="s">
        <v>122</v>
      </c>
      <c r="B71" s="17" t="s">
        <v>123</v>
      </c>
      <c r="C71" s="18">
        <f>0</f>
        <v>0</v>
      </c>
      <c r="D71" s="18">
        <f>230946.21</f>
        <v>230946.20999999999</v>
      </c>
      <c r="E71" s="18">
        <f>124921</f>
        <v>124921</v>
      </c>
      <c r="F71" s="18">
        <f>604480.47</f>
        <v>604480.46999999997</v>
      </c>
      <c r="G71" s="18">
        <f>150000</f>
        <v>150000</v>
      </c>
      <c r="H71" s="19">
        <f>129165.98</f>
        <v>129165.98</v>
      </c>
      <c r="I71" s="19">
        <f>334299.01</f>
        <v>334299.01000000001</v>
      </c>
      <c r="J71" s="20">
        <f>334299.01</f>
        <v>334299.01000000001</v>
      </c>
      <c r="K71" s="21">
        <f>126029.91</f>
        <v>126029.91</v>
      </c>
      <c r="L71" s="22">
        <f>0</f>
        <v>0</v>
      </c>
      <c r="M71" s="22">
        <f>0</f>
        <v>0</v>
      </c>
      <c r="N71" s="22">
        <f>0</f>
        <v>0</v>
      </c>
      <c r="O71" s="22">
        <f>0</f>
        <v>0</v>
      </c>
      <c r="P71" s="22">
        <f>0</f>
        <v>0</v>
      </c>
      <c r="Q71" s="22">
        <f>0</f>
        <v>0</v>
      </c>
    </row>
    <row r="72">
      <c r="A72" s="16" t="s">
        <v>124</v>
      </c>
      <c r="B72" s="17" t="s">
        <v>125</v>
      </c>
      <c r="C72" s="18">
        <f>20773.02</f>
        <v>20773.02</v>
      </c>
      <c r="D72" s="18">
        <f>322439.74</f>
        <v>322439.73999999999</v>
      </c>
      <c r="E72" s="18">
        <f>1020176.99</f>
        <v>1020176.99</v>
      </c>
      <c r="F72" s="18">
        <f>229108.77</f>
        <v>229108.76999999999</v>
      </c>
      <c r="G72" s="18">
        <f>0</f>
        <v>0</v>
      </c>
      <c r="H72" s="19">
        <f>761293</f>
        <v>761293</v>
      </c>
      <c r="I72" s="19">
        <f>248488</f>
        <v>248488</v>
      </c>
      <c r="J72" s="20">
        <f>248488</f>
        <v>248488</v>
      </c>
      <c r="K72" s="21">
        <f>3427039.99</f>
        <v>3427039.9900000002</v>
      </c>
      <c r="L72" s="22">
        <f>0</f>
        <v>0</v>
      </c>
      <c r="M72" s="22">
        <f>0</f>
        <v>0</v>
      </c>
      <c r="N72" s="22">
        <f>0</f>
        <v>0</v>
      </c>
      <c r="O72" s="22">
        <f>0</f>
        <v>0</v>
      </c>
      <c r="P72" s="22">
        <f>0</f>
        <v>0</v>
      </c>
      <c r="Q72" s="22">
        <f>0</f>
        <v>0</v>
      </c>
    </row>
    <row r="73">
      <c r="A73" s="16" t="s">
        <v>126</v>
      </c>
      <c r="B73" s="17" t="s">
        <v>127</v>
      </c>
      <c r="C73" s="18">
        <f>20773.02</f>
        <v>20773.02</v>
      </c>
      <c r="D73" s="18">
        <f>322439.74</f>
        <v>322439.73999999999</v>
      </c>
      <c r="E73" s="18">
        <f>1020176.99</f>
        <v>1020176.99</v>
      </c>
      <c r="F73" s="18">
        <f>229108.77</f>
        <v>229108.76999999999</v>
      </c>
      <c r="G73" s="18">
        <f>0</f>
        <v>0</v>
      </c>
      <c r="H73" s="19">
        <f>761293</f>
        <v>761293</v>
      </c>
      <c r="I73" s="19">
        <f>248488</f>
        <v>248488</v>
      </c>
      <c r="J73" s="20">
        <f>248488</f>
        <v>248488</v>
      </c>
      <c r="K73" s="21">
        <f>3427039.99</f>
        <v>3427039.9900000002</v>
      </c>
      <c r="L73" s="22">
        <f>0</f>
        <v>0</v>
      </c>
      <c r="M73" s="22">
        <f>0</f>
        <v>0</v>
      </c>
      <c r="N73" s="22">
        <f>0</f>
        <v>0</v>
      </c>
      <c r="O73" s="22">
        <f>0</f>
        <v>0</v>
      </c>
      <c r="P73" s="22">
        <f>0</f>
        <v>0</v>
      </c>
      <c r="Q73" s="22">
        <f>0</f>
        <v>0</v>
      </c>
    </row>
    <row r="74">
      <c r="A74" s="16" t="s">
        <v>128</v>
      </c>
      <c r="B74" s="17" t="s">
        <v>123</v>
      </c>
      <c r="C74" s="18">
        <f>20773.02</f>
        <v>20773.02</v>
      </c>
      <c r="D74" s="18">
        <f>322439.74</f>
        <v>322439.73999999999</v>
      </c>
      <c r="E74" s="18">
        <f>1020176.99</f>
        <v>1020176.99</v>
      </c>
      <c r="F74" s="18">
        <f>229108.77</f>
        <v>229108.76999999999</v>
      </c>
      <c r="G74" s="18">
        <f>0</f>
        <v>0</v>
      </c>
      <c r="H74" s="19">
        <f>761293</f>
        <v>761293</v>
      </c>
      <c r="I74" s="19">
        <f>248488</f>
        <v>248488</v>
      </c>
      <c r="J74" s="20">
        <f>248488</f>
        <v>248488</v>
      </c>
      <c r="K74" s="21">
        <f>3427039.99</f>
        <v>3427039.9900000002</v>
      </c>
      <c r="L74" s="22">
        <f>0</f>
        <v>0</v>
      </c>
      <c r="M74" s="22">
        <f>0</f>
        <v>0</v>
      </c>
      <c r="N74" s="22">
        <f>0</f>
        <v>0</v>
      </c>
      <c r="O74" s="22">
        <f>0</f>
        <v>0</v>
      </c>
      <c r="P74" s="22">
        <f>0</f>
        <v>0</v>
      </c>
      <c r="Q74" s="22">
        <f>0</f>
        <v>0</v>
      </c>
    </row>
    <row r="75">
      <c r="A75" s="16" t="s">
        <v>129</v>
      </c>
      <c r="B75" s="17" t="s">
        <v>130</v>
      </c>
      <c r="C75" s="18">
        <f>22570.18</f>
        <v>22570.18</v>
      </c>
      <c r="D75" s="18">
        <f>282498.2</f>
        <v>282498.20000000001</v>
      </c>
      <c r="E75" s="18">
        <f>57735.49</f>
        <v>57735.489999999998</v>
      </c>
      <c r="F75" s="18">
        <f>690728.94</f>
        <v>690728.93999999994</v>
      </c>
      <c r="G75" s="18">
        <f>174566.2</f>
        <v>174566.20000000001</v>
      </c>
      <c r="H75" s="19">
        <f>103077.51</f>
        <v>103077.50999999999</v>
      </c>
      <c r="I75" s="19">
        <f>389752.07</f>
        <v>389752.07000000001</v>
      </c>
      <c r="J75" s="20">
        <f>389752.07</f>
        <v>389752.07000000001</v>
      </c>
      <c r="K75" s="21">
        <f>267099.79</f>
        <v>267099.78999999998</v>
      </c>
      <c r="L75" s="22">
        <f>12000</f>
        <v>12000</v>
      </c>
      <c r="M75" s="22">
        <f>12000</f>
        <v>12000</v>
      </c>
      <c r="N75" s="22">
        <f>8000</f>
        <v>8000</v>
      </c>
      <c r="O75" s="22">
        <f>0</f>
        <v>0</v>
      </c>
      <c r="P75" s="22">
        <f>0</f>
        <v>0</v>
      </c>
      <c r="Q75" s="22">
        <f>0</f>
        <v>0</v>
      </c>
    </row>
    <row r="76">
      <c r="A76" s="16" t="s">
        <v>131</v>
      </c>
      <c r="B76" s="17" t="s">
        <v>132</v>
      </c>
      <c r="C76" s="18">
        <f>22570.18</f>
        <v>22570.18</v>
      </c>
      <c r="D76" s="18">
        <f>282498.2</f>
        <v>282498.20000000001</v>
      </c>
      <c r="E76" s="18">
        <f>57735.49</f>
        <v>57735.489999999998</v>
      </c>
      <c r="F76" s="18">
        <f>690728.94</f>
        <v>690728.93999999994</v>
      </c>
      <c r="G76" s="18">
        <f>174566.2</f>
        <v>174566.20000000001</v>
      </c>
      <c r="H76" s="19">
        <f>103077.51</f>
        <v>103077.50999999999</v>
      </c>
      <c r="I76" s="19">
        <f>389752.07</f>
        <v>389752.07000000001</v>
      </c>
      <c r="J76" s="20">
        <f>389752.07</f>
        <v>389752.07000000001</v>
      </c>
      <c r="K76" s="21">
        <f>267099.79</f>
        <v>267099.78999999998</v>
      </c>
      <c r="L76" s="22">
        <f>0</f>
        <v>0</v>
      </c>
      <c r="M76" s="22">
        <f>0</f>
        <v>0</v>
      </c>
      <c r="N76" s="22">
        <f>0</f>
        <v>0</v>
      </c>
      <c r="O76" s="22">
        <f>0</f>
        <v>0</v>
      </c>
      <c r="P76" s="22">
        <f>0</f>
        <v>0</v>
      </c>
      <c r="Q76" s="22">
        <f>0</f>
        <v>0</v>
      </c>
    </row>
    <row r="77">
      <c r="A77" s="16" t="s">
        <v>133</v>
      </c>
      <c r="B77" s="17" t="s">
        <v>134</v>
      </c>
      <c r="C77" s="18">
        <f>22210.74</f>
        <v>22210.740000000002</v>
      </c>
      <c r="D77" s="18">
        <f>277323.36</f>
        <v>277323.35999999999</v>
      </c>
      <c r="E77" s="18">
        <f>57398.37</f>
        <v>57398.370000000003</v>
      </c>
      <c r="F77" s="18">
        <f>660315.72</f>
        <v>660315.71999999997</v>
      </c>
      <c r="G77" s="18">
        <f>151318.14</f>
        <v>151318.14000000001</v>
      </c>
      <c r="H77" s="19">
        <f>97350.98</f>
        <v>97350.979999999996</v>
      </c>
      <c r="I77" s="19">
        <f>331179.01</f>
        <v>331179.01000000001</v>
      </c>
      <c r="J77" s="20">
        <f>331179.01</f>
        <v>331179.01000000001</v>
      </c>
      <c r="K77" s="21">
        <f>219579.92</f>
        <v>219579.92000000001</v>
      </c>
      <c r="L77" s="22">
        <f>0</f>
        <v>0</v>
      </c>
      <c r="M77" s="22">
        <f>0</f>
        <v>0</v>
      </c>
      <c r="N77" s="22">
        <f>0</f>
        <v>0</v>
      </c>
      <c r="O77" s="22">
        <f>0</f>
        <v>0</v>
      </c>
      <c r="P77" s="22">
        <f>0</f>
        <v>0</v>
      </c>
      <c r="Q77" s="22">
        <f>0</f>
        <v>0</v>
      </c>
    </row>
    <row r="78">
      <c r="A78" s="16" t="s">
        <v>135</v>
      </c>
      <c r="B78" s="17" t="s">
        <v>136</v>
      </c>
      <c r="C78" s="18">
        <f>24438.87</f>
        <v>24438.869999999999</v>
      </c>
      <c r="D78" s="18">
        <f>705897.18</f>
        <v>705897.18000000005</v>
      </c>
      <c r="E78" s="18">
        <f>1986710.34</f>
        <v>1986710.3400000001</v>
      </c>
      <c r="F78" s="18">
        <f>4541.38</f>
        <v>4541.3800000000001</v>
      </c>
      <c r="G78" s="18">
        <f>989085.68</f>
        <v>989085.68000000005</v>
      </c>
      <c r="H78" s="19">
        <f>0</f>
        <v>0</v>
      </c>
      <c r="I78" s="19">
        <f>382840</f>
        <v>382840</v>
      </c>
      <c r="J78" s="20">
        <f>382840</f>
        <v>382840</v>
      </c>
      <c r="K78" s="21">
        <f>3427039.99</f>
        <v>3427039.9900000002</v>
      </c>
      <c r="L78" s="22">
        <f>0</f>
        <v>0</v>
      </c>
      <c r="M78" s="22">
        <f>0</f>
        <v>0</v>
      </c>
      <c r="N78" s="22">
        <f>0</f>
        <v>0</v>
      </c>
      <c r="O78" s="22">
        <f>0</f>
        <v>0</v>
      </c>
      <c r="P78" s="22">
        <f>0</f>
        <v>0</v>
      </c>
      <c r="Q78" s="22">
        <f>0</f>
        <v>0</v>
      </c>
    </row>
    <row r="79">
      <c r="A79" s="16" t="s">
        <v>137</v>
      </c>
      <c r="B79" s="17" t="s">
        <v>138</v>
      </c>
      <c r="C79" s="18">
        <f>24438.87</f>
        <v>24438.869999999999</v>
      </c>
      <c r="D79" s="18">
        <f>705897.18</f>
        <v>705897.18000000005</v>
      </c>
      <c r="E79" s="18">
        <f>1986710.34</f>
        <v>1986710.3400000001</v>
      </c>
      <c r="F79" s="18">
        <f>4541.38</f>
        <v>4541.3800000000001</v>
      </c>
      <c r="G79" s="18">
        <f>989085.68</f>
        <v>989085.68000000005</v>
      </c>
      <c r="H79" s="19">
        <f>0</f>
        <v>0</v>
      </c>
      <c r="I79" s="19">
        <f>382840</f>
        <v>382840</v>
      </c>
      <c r="J79" s="20">
        <f>382840</f>
        <v>382840</v>
      </c>
      <c r="K79" s="21">
        <f>3427039.99</f>
        <v>3427039.9900000002</v>
      </c>
      <c r="L79" s="22">
        <f>0</f>
        <v>0</v>
      </c>
      <c r="M79" s="22">
        <f>0</f>
        <v>0</v>
      </c>
      <c r="N79" s="22">
        <f>0</f>
        <v>0</v>
      </c>
      <c r="O79" s="22">
        <f>0</f>
        <v>0</v>
      </c>
      <c r="P79" s="22">
        <f>0</f>
        <v>0</v>
      </c>
      <c r="Q79" s="22">
        <f>0</f>
        <v>0</v>
      </c>
    </row>
    <row r="80">
      <c r="A80" s="16" t="s">
        <v>139</v>
      </c>
      <c r="B80" s="17" t="s">
        <v>134</v>
      </c>
      <c r="C80" s="18">
        <f>24438.87</f>
        <v>24438.869999999999</v>
      </c>
      <c r="D80" s="18">
        <f>326277.12</f>
        <v>326277.12</v>
      </c>
      <c r="E80" s="18">
        <f>1283956.78</f>
        <v>1283956.78</v>
      </c>
      <c r="F80" s="18">
        <f>3860.17</f>
        <v>3860.1700000000001</v>
      </c>
      <c r="G80" s="18">
        <f>694062.1</f>
        <v>694062.09999999998</v>
      </c>
      <c r="H80" s="19">
        <f>0</f>
        <v>0</v>
      </c>
      <c r="I80" s="19">
        <f>382840</f>
        <v>382840</v>
      </c>
      <c r="J80" s="20">
        <f>382840</f>
        <v>382840</v>
      </c>
      <c r="K80" s="21">
        <f>3427039.99</f>
        <v>3427039.9900000002</v>
      </c>
      <c r="L80" s="22">
        <f>0</f>
        <v>0</v>
      </c>
      <c r="M80" s="22">
        <f>0</f>
        <v>0</v>
      </c>
      <c r="N80" s="22">
        <f>0</f>
        <v>0</v>
      </c>
      <c r="O80" s="22">
        <f>0</f>
        <v>0</v>
      </c>
      <c r="P80" s="22">
        <f>0</f>
        <v>0</v>
      </c>
      <c r="Q80" s="22">
        <f>0</f>
        <v>0</v>
      </c>
    </row>
    <row r="81">
      <c r="A81" s="23">
        <v>10</v>
      </c>
      <c r="B81" s="24" t="s">
        <v>140</v>
      </c>
      <c r="C81" s="30" t="s">
        <v>92</v>
      </c>
      <c r="D81" s="30" t="s">
        <v>92</v>
      </c>
      <c r="E81" s="30" t="s">
        <v>92</v>
      </c>
      <c r="F81" s="30" t="s">
        <v>92</v>
      </c>
      <c r="G81" s="30" t="s">
        <v>92</v>
      </c>
      <c r="H81" s="31" t="s">
        <v>92</v>
      </c>
      <c r="I81" s="31" t="s">
        <v>92</v>
      </c>
      <c r="J81" s="32" t="s">
        <v>92</v>
      </c>
      <c r="K81" s="33" t="s">
        <v>92</v>
      </c>
      <c r="L81" s="34" t="s">
        <v>92</v>
      </c>
      <c r="M81" s="34" t="s">
        <v>92</v>
      </c>
      <c r="N81" s="34" t="s">
        <v>92</v>
      </c>
      <c r="O81" s="34" t="s">
        <v>92</v>
      </c>
      <c r="P81" s="34" t="s">
        <v>92</v>
      </c>
      <c r="Q81" s="34" t="s">
        <v>92</v>
      </c>
    </row>
    <row r="82">
      <c r="A82" s="16" t="s">
        <v>141</v>
      </c>
      <c r="B82" s="17" t="s">
        <v>142</v>
      </c>
      <c r="C82" s="18">
        <f>38148</f>
        <v>38148</v>
      </c>
      <c r="D82" s="18">
        <f>0</f>
        <v>0</v>
      </c>
      <c r="E82" s="18">
        <f>0</f>
        <v>0</v>
      </c>
      <c r="F82" s="18">
        <f>0</f>
        <v>0</v>
      </c>
      <c r="G82" s="18">
        <f>0</f>
        <v>0</v>
      </c>
      <c r="H82" s="19">
        <f>0</f>
        <v>0</v>
      </c>
      <c r="I82" s="19">
        <f>0</f>
        <v>0</v>
      </c>
      <c r="J82" s="20">
        <f>0</f>
        <v>0</v>
      </c>
      <c r="K82" s="21">
        <f>8147619.2</f>
        <v>8147619.2000000002</v>
      </c>
      <c r="L82" s="22">
        <f>12000</f>
        <v>12000</v>
      </c>
      <c r="M82" s="22">
        <f>12000</f>
        <v>12000</v>
      </c>
      <c r="N82" s="22">
        <f>8000</f>
        <v>8000</v>
      </c>
      <c r="O82" s="22">
        <f>0</f>
        <v>0</v>
      </c>
      <c r="P82" s="22">
        <f>0</f>
        <v>0</v>
      </c>
      <c r="Q82" s="22">
        <f>0</f>
        <v>0</v>
      </c>
    </row>
    <row r="83">
      <c r="A83" s="16" t="s">
        <v>143</v>
      </c>
      <c r="B83" s="17" t="s">
        <v>144</v>
      </c>
      <c r="C83" s="18">
        <f>0</f>
        <v>0</v>
      </c>
      <c r="D83" s="18">
        <f>0</f>
        <v>0</v>
      </c>
      <c r="E83" s="18">
        <f>0</f>
        <v>0</v>
      </c>
      <c r="F83" s="18">
        <f>0</f>
        <v>0</v>
      </c>
      <c r="G83" s="18">
        <f>0</f>
        <v>0</v>
      </c>
      <c r="H83" s="19">
        <f>0</f>
        <v>0</v>
      </c>
      <c r="I83" s="19">
        <f>0</f>
        <v>0</v>
      </c>
      <c r="J83" s="20">
        <f>0</f>
        <v>0</v>
      </c>
      <c r="K83" s="21">
        <f>12000</f>
        <v>12000</v>
      </c>
      <c r="L83" s="22">
        <f>12000</f>
        <v>12000</v>
      </c>
      <c r="M83" s="22">
        <f>12000</f>
        <v>12000</v>
      </c>
      <c r="N83" s="22">
        <f>8000</f>
        <v>8000</v>
      </c>
      <c r="O83" s="22">
        <f>0</f>
        <v>0</v>
      </c>
      <c r="P83" s="22">
        <f>0</f>
        <v>0</v>
      </c>
      <c r="Q83" s="22">
        <f>0</f>
        <v>0</v>
      </c>
    </row>
    <row r="84">
      <c r="A84" s="16" t="s">
        <v>145</v>
      </c>
      <c r="B84" s="17" t="s">
        <v>146</v>
      </c>
      <c r="C84" s="18">
        <f>38148</f>
        <v>38148</v>
      </c>
      <c r="D84" s="18">
        <f>0</f>
        <v>0</v>
      </c>
      <c r="E84" s="18">
        <f>0</f>
        <v>0</v>
      </c>
      <c r="F84" s="18">
        <f>0</f>
        <v>0</v>
      </c>
      <c r="G84" s="18">
        <f>0</f>
        <v>0</v>
      </c>
      <c r="H84" s="19">
        <f>0</f>
        <v>0</v>
      </c>
      <c r="I84" s="19">
        <f>0</f>
        <v>0</v>
      </c>
      <c r="J84" s="20">
        <f>0</f>
        <v>0</v>
      </c>
      <c r="K84" s="21">
        <f>8135619.2</f>
        <v>8135619.2000000002</v>
      </c>
      <c r="L84" s="22">
        <f>0</f>
        <v>0</v>
      </c>
      <c r="M84" s="22">
        <f>0</f>
        <v>0</v>
      </c>
      <c r="N84" s="22">
        <f>0</f>
        <v>0</v>
      </c>
      <c r="O84" s="22">
        <f>0</f>
        <v>0</v>
      </c>
      <c r="P84" s="22">
        <f>0</f>
        <v>0</v>
      </c>
      <c r="Q84" s="22">
        <f>0</f>
        <v>0</v>
      </c>
    </row>
    <row r="85">
      <c r="A85" s="16" t="s">
        <v>147</v>
      </c>
      <c r="B85" s="17" t="s">
        <v>148</v>
      </c>
      <c r="C85" s="18">
        <f>0</f>
        <v>0</v>
      </c>
      <c r="D85" s="18">
        <f>0</f>
        <v>0</v>
      </c>
      <c r="E85" s="18">
        <f>0</f>
        <v>0</v>
      </c>
      <c r="F85" s="18">
        <f>0</f>
        <v>0</v>
      </c>
      <c r="G85" s="18">
        <f>0</f>
        <v>0</v>
      </c>
      <c r="H85" s="19">
        <f>0</f>
        <v>0</v>
      </c>
      <c r="I85" s="19">
        <f>0</f>
        <v>0</v>
      </c>
      <c r="J85" s="20">
        <f>0</f>
        <v>0</v>
      </c>
      <c r="K85" s="21">
        <f>0</f>
        <v>0</v>
      </c>
      <c r="L85" s="22">
        <f>0</f>
        <v>0</v>
      </c>
      <c r="M85" s="22">
        <f>0</f>
        <v>0</v>
      </c>
      <c r="N85" s="22">
        <f>0</f>
        <v>0</v>
      </c>
      <c r="O85" s="22">
        <f>0</f>
        <v>0</v>
      </c>
      <c r="P85" s="22">
        <f>0</f>
        <v>0</v>
      </c>
      <c r="Q85" s="22">
        <f>0</f>
        <v>0</v>
      </c>
    </row>
    <row r="86">
      <c r="A86" s="16" t="s">
        <v>149</v>
      </c>
      <c r="B86" s="17" t="s">
        <v>150</v>
      </c>
      <c r="C86" s="18">
        <f>0</f>
        <v>0</v>
      </c>
      <c r="D86" s="18">
        <f>0</f>
        <v>0</v>
      </c>
      <c r="E86" s="18">
        <f>0</f>
        <v>0</v>
      </c>
      <c r="F86" s="18">
        <f>0</f>
        <v>0</v>
      </c>
      <c r="G86" s="18">
        <f>0</f>
        <v>0</v>
      </c>
      <c r="H86" s="19">
        <f>0</f>
        <v>0</v>
      </c>
      <c r="I86" s="19">
        <f>0</f>
        <v>0</v>
      </c>
      <c r="J86" s="20">
        <f>0</f>
        <v>0</v>
      </c>
      <c r="K86" s="21">
        <f>0</f>
        <v>0</v>
      </c>
      <c r="L86" s="22">
        <f>0</f>
        <v>0</v>
      </c>
      <c r="M86" s="22">
        <f>0</f>
        <v>0</v>
      </c>
      <c r="N86" s="22">
        <f>0</f>
        <v>0</v>
      </c>
      <c r="O86" s="22">
        <f>0</f>
        <v>0</v>
      </c>
      <c r="P86" s="22">
        <f>0</f>
        <v>0</v>
      </c>
      <c r="Q86" s="22">
        <f>0</f>
        <v>0</v>
      </c>
    </row>
    <row r="87">
      <c r="A87" s="16" t="s">
        <v>151</v>
      </c>
      <c r="B87" s="17" t="s">
        <v>152</v>
      </c>
      <c r="C87" s="18">
        <f>0</f>
        <v>0</v>
      </c>
      <c r="D87" s="18">
        <f>0</f>
        <v>0</v>
      </c>
      <c r="E87" s="18">
        <f>0</f>
        <v>0</v>
      </c>
      <c r="F87" s="18">
        <f>0</f>
        <v>0</v>
      </c>
      <c r="G87" s="18">
        <f>0</f>
        <v>0</v>
      </c>
      <c r="H87" s="19">
        <f>0</f>
        <v>0</v>
      </c>
      <c r="I87" s="19">
        <f>0</f>
        <v>0</v>
      </c>
      <c r="J87" s="20">
        <f>0</f>
        <v>0</v>
      </c>
      <c r="K87" s="21">
        <f>0</f>
        <v>0</v>
      </c>
      <c r="L87" s="22">
        <f>0</f>
        <v>0</v>
      </c>
      <c r="M87" s="22">
        <f>0</f>
        <v>0</v>
      </c>
      <c r="N87" s="22">
        <f>0</f>
        <v>0</v>
      </c>
      <c r="O87" s="22">
        <f>0</f>
        <v>0</v>
      </c>
      <c r="P87" s="22">
        <f>0</f>
        <v>0</v>
      </c>
      <c r="Q87" s="22">
        <f>0</f>
        <v>0</v>
      </c>
    </row>
    <row r="88">
      <c r="A88" s="16" t="s">
        <v>153</v>
      </c>
      <c r="B88" s="17" t="s">
        <v>154</v>
      </c>
      <c r="C88" s="18">
        <f>0</f>
        <v>0</v>
      </c>
      <c r="D88" s="18">
        <f>0</f>
        <v>0</v>
      </c>
      <c r="E88" s="18">
        <f>0</f>
        <v>0</v>
      </c>
      <c r="F88" s="18">
        <f>0</f>
        <v>0</v>
      </c>
      <c r="G88" s="18">
        <f>0</f>
        <v>0</v>
      </c>
      <c r="H88" s="19">
        <f>0</f>
        <v>0</v>
      </c>
      <c r="I88" s="19">
        <f>0</f>
        <v>0</v>
      </c>
      <c r="J88" s="20">
        <f>0</f>
        <v>0</v>
      </c>
      <c r="K88" s="21">
        <f>0</f>
        <v>0</v>
      </c>
      <c r="L88" s="22">
        <f>0</f>
        <v>0</v>
      </c>
      <c r="M88" s="22">
        <f>0</f>
        <v>0</v>
      </c>
      <c r="N88" s="22">
        <f>0</f>
        <v>0</v>
      </c>
      <c r="O88" s="22">
        <f>0</f>
        <v>0</v>
      </c>
      <c r="P88" s="22">
        <f>0</f>
        <v>0</v>
      </c>
      <c r="Q88" s="22">
        <f>0</f>
        <v>0</v>
      </c>
    </row>
    <row r="89">
      <c r="A89" s="16" t="s">
        <v>155</v>
      </c>
      <c r="B89" s="17" t="s">
        <v>156</v>
      </c>
      <c r="C89" s="18">
        <f>1137928</f>
        <v>1137928</v>
      </c>
      <c r="D89" s="18">
        <f>1135860</f>
        <v>1135860</v>
      </c>
      <c r="E89" s="18">
        <f>1004520</f>
        <v>1004520</v>
      </c>
      <c r="F89" s="18">
        <f>877740</f>
        <v>877740</v>
      </c>
      <c r="G89" s="18">
        <f>730000</f>
        <v>730000</v>
      </c>
      <c r="H89" s="19">
        <f>850000</f>
        <v>850000</v>
      </c>
      <c r="I89" s="19">
        <f>0</f>
        <v>0</v>
      </c>
      <c r="J89" s="20">
        <f>0</f>
        <v>0</v>
      </c>
      <c r="K89" s="21">
        <f>439950</f>
        <v>439950</v>
      </c>
      <c r="L89" s="22">
        <f>250000</f>
        <v>250000</v>
      </c>
      <c r="M89" s="22">
        <f>0</f>
        <v>0</v>
      </c>
      <c r="N89" s="22">
        <f>0</f>
        <v>0</v>
      </c>
      <c r="O89" s="22">
        <f>0</f>
        <v>0</v>
      </c>
      <c r="P89" s="22">
        <f>0</f>
        <v>0</v>
      </c>
      <c r="Q89" s="22">
        <f>0</f>
        <v>0</v>
      </c>
    </row>
    <row r="90">
      <c r="A90" s="16" t="s">
        <v>157</v>
      </c>
      <c r="B90" s="17" t="s">
        <v>158</v>
      </c>
      <c r="C90" s="18">
        <f>0</f>
        <v>0</v>
      </c>
      <c r="D90" s="18">
        <f>0</f>
        <v>0</v>
      </c>
      <c r="E90" s="18">
        <f>0</f>
        <v>0</v>
      </c>
      <c r="F90" s="18">
        <f>0</f>
        <v>0</v>
      </c>
      <c r="G90" s="18">
        <f>0</f>
        <v>0</v>
      </c>
      <c r="H90" s="19">
        <f>0</f>
        <v>0</v>
      </c>
      <c r="I90" s="19">
        <f>0</f>
        <v>0</v>
      </c>
      <c r="J90" s="20">
        <f>0</f>
        <v>0</v>
      </c>
      <c r="K90" s="21">
        <f>0</f>
        <v>0</v>
      </c>
      <c r="L90" s="22">
        <f>0</f>
        <v>0</v>
      </c>
      <c r="M90" s="22">
        <f>0</f>
        <v>0</v>
      </c>
      <c r="N90" s="22">
        <f>0</f>
        <v>0</v>
      </c>
      <c r="O90" s="22">
        <f>0</f>
        <v>0</v>
      </c>
      <c r="P90" s="22">
        <f>0</f>
        <v>0</v>
      </c>
      <c r="Q90" s="22">
        <f>0</f>
        <v>0</v>
      </c>
    </row>
    <row r="91">
      <c r="A91" s="16" t="s">
        <v>159</v>
      </c>
      <c r="B91" s="17" t="s">
        <v>160</v>
      </c>
      <c r="C91" s="18">
        <f>0</f>
        <v>0</v>
      </c>
      <c r="D91" s="18">
        <f>0</f>
        <v>0</v>
      </c>
      <c r="E91" s="18">
        <f>0</f>
        <v>0</v>
      </c>
      <c r="F91" s="18">
        <f>0</f>
        <v>0</v>
      </c>
      <c r="G91" s="18">
        <f>0</f>
        <v>0</v>
      </c>
      <c r="H91" s="19">
        <f>0</f>
        <v>0</v>
      </c>
      <c r="I91" s="19">
        <f>0</f>
        <v>0</v>
      </c>
      <c r="J91" s="20">
        <f>0</f>
        <v>0</v>
      </c>
      <c r="K91" s="21">
        <f>0</f>
        <v>0</v>
      </c>
      <c r="L91" s="22">
        <f>0</f>
        <v>0</v>
      </c>
      <c r="M91" s="22">
        <f>0</f>
        <v>0</v>
      </c>
      <c r="N91" s="22">
        <f>0</f>
        <v>0</v>
      </c>
      <c r="O91" s="22">
        <f>0</f>
        <v>0</v>
      </c>
      <c r="P91" s="22">
        <f>0</f>
        <v>0</v>
      </c>
      <c r="Q91" s="22">
        <f>0</f>
        <v>0</v>
      </c>
    </row>
    <row r="92">
      <c r="A92" s="16" t="s">
        <v>161</v>
      </c>
      <c r="B92" s="17" t="s">
        <v>162</v>
      </c>
      <c r="C92" s="18">
        <f>0</f>
        <v>0</v>
      </c>
      <c r="D92" s="18">
        <f>0</f>
        <v>0</v>
      </c>
      <c r="E92" s="18">
        <f>0</f>
        <v>0</v>
      </c>
      <c r="F92" s="18">
        <f>0</f>
        <v>0</v>
      </c>
      <c r="G92" s="18">
        <f>0</f>
        <v>0</v>
      </c>
      <c r="H92" s="19">
        <f>0</f>
        <v>0</v>
      </c>
      <c r="I92" s="19">
        <f>0</f>
        <v>0</v>
      </c>
      <c r="J92" s="20">
        <f>0</f>
        <v>0</v>
      </c>
      <c r="K92" s="21">
        <f>0</f>
        <v>0</v>
      </c>
      <c r="L92" s="22">
        <f>0</f>
        <v>0</v>
      </c>
      <c r="M92" s="22">
        <f>0</f>
        <v>0</v>
      </c>
      <c r="N92" s="22">
        <f>0</f>
        <v>0</v>
      </c>
      <c r="O92" s="22">
        <f>0</f>
        <v>0</v>
      </c>
      <c r="P92" s="22">
        <f>0</f>
        <v>0</v>
      </c>
      <c r="Q92" s="22">
        <f>0</f>
        <v>0</v>
      </c>
    </row>
    <row r="93">
      <c r="A93" s="16" t="s">
        <v>163</v>
      </c>
      <c r="B93" s="17" t="s">
        <v>164</v>
      </c>
      <c r="C93" s="18">
        <f>0</f>
        <v>0</v>
      </c>
      <c r="D93" s="18">
        <f>0</f>
        <v>0</v>
      </c>
      <c r="E93" s="18">
        <f>0</f>
        <v>0</v>
      </c>
      <c r="F93" s="18">
        <f>0</f>
        <v>0</v>
      </c>
      <c r="G93" s="18">
        <f>0</f>
        <v>0</v>
      </c>
      <c r="H93" s="19">
        <f>0</f>
        <v>0</v>
      </c>
      <c r="I93" s="19">
        <f>0</f>
        <v>0</v>
      </c>
      <c r="J93" s="20">
        <f>0</f>
        <v>0</v>
      </c>
      <c r="K93" s="21">
        <f>0</f>
        <v>0</v>
      </c>
      <c r="L93" s="22">
        <f>0</f>
        <v>0</v>
      </c>
      <c r="M93" s="22">
        <f>0</f>
        <v>0</v>
      </c>
      <c r="N93" s="22">
        <f>0</f>
        <v>0</v>
      </c>
      <c r="O93" s="22">
        <f>0</f>
        <v>0</v>
      </c>
      <c r="P93" s="22">
        <f>0</f>
        <v>0</v>
      </c>
      <c r="Q93" s="22">
        <f>0</f>
        <v>0</v>
      </c>
    </row>
    <row r="94">
      <c r="A94" s="16" t="s">
        <v>165</v>
      </c>
      <c r="B94" s="17" t="s">
        <v>166</v>
      </c>
      <c r="C94" s="18">
        <f>0</f>
        <v>0</v>
      </c>
      <c r="D94" s="18">
        <f>0</f>
        <v>0</v>
      </c>
      <c r="E94" s="18">
        <f>0</f>
        <v>0</v>
      </c>
      <c r="F94" s="18">
        <f>0</f>
        <v>0</v>
      </c>
      <c r="G94" s="18">
        <f>0</f>
        <v>0</v>
      </c>
      <c r="H94" s="19">
        <f>0</f>
        <v>0</v>
      </c>
      <c r="I94" s="19">
        <f>0</f>
        <v>0</v>
      </c>
      <c r="J94" s="20">
        <f>0</f>
        <v>0</v>
      </c>
      <c r="K94" s="21">
        <f>0</f>
        <v>0</v>
      </c>
      <c r="L94" s="22">
        <f>0</f>
        <v>0</v>
      </c>
      <c r="M94" s="22">
        <f>0</f>
        <v>0</v>
      </c>
      <c r="N94" s="22">
        <f>0</f>
        <v>0</v>
      </c>
      <c r="O94" s="22">
        <f>0</f>
        <v>0</v>
      </c>
      <c r="P94" s="22">
        <f>0</f>
        <v>0</v>
      </c>
      <c r="Q94" s="22">
        <f>0</f>
        <v>0</v>
      </c>
    </row>
    <row r="95">
      <c r="A95" s="16" t="s">
        <v>167</v>
      </c>
      <c r="B95" s="17" t="s">
        <v>168</v>
      </c>
      <c r="C95" s="18">
        <f>0</f>
        <v>0</v>
      </c>
      <c r="D95" s="18">
        <f>0</f>
        <v>0</v>
      </c>
      <c r="E95" s="18">
        <f>0</f>
        <v>0</v>
      </c>
      <c r="F95" s="18">
        <f>0</f>
        <v>0</v>
      </c>
      <c r="G95" s="18">
        <f>0</f>
        <v>0</v>
      </c>
      <c r="H95" s="19">
        <f>0</f>
        <v>0</v>
      </c>
      <c r="I95" s="19">
        <f>0</f>
        <v>0</v>
      </c>
      <c r="J95" s="20">
        <f>0</f>
        <v>0</v>
      </c>
      <c r="K95" s="21">
        <f>0</f>
        <v>0</v>
      </c>
      <c r="L95" s="22">
        <f>0</f>
        <v>0</v>
      </c>
      <c r="M95" s="22">
        <f>0</f>
        <v>0</v>
      </c>
      <c r="N95" s="22">
        <f>0</f>
        <v>0</v>
      </c>
      <c r="O95" s="22">
        <f>0</f>
        <v>0</v>
      </c>
      <c r="P95" s="22">
        <f>0</f>
        <v>0</v>
      </c>
      <c r="Q95" s="22">
        <f>0</f>
        <v>0</v>
      </c>
    </row>
    <row r="96">
      <c r="A96" s="16" t="s">
        <v>169</v>
      </c>
      <c r="B96" s="17" t="s">
        <v>170</v>
      </c>
      <c r="C96" s="18">
        <f>0</f>
        <v>0</v>
      </c>
      <c r="D96" s="18">
        <f>0</f>
        <v>0</v>
      </c>
      <c r="E96" s="18">
        <f>-102580</f>
        <v>-102580</v>
      </c>
      <c r="F96" s="18">
        <f>0</f>
        <v>0</v>
      </c>
      <c r="G96" s="18">
        <f>0</f>
        <v>0</v>
      </c>
      <c r="H96" s="19">
        <f>0</f>
        <v>0</v>
      </c>
      <c r="I96" s="19">
        <f>0</f>
        <v>0</v>
      </c>
      <c r="J96" s="20">
        <f>0</f>
        <v>0</v>
      </c>
      <c r="K96" s="21">
        <f>0</f>
        <v>0</v>
      </c>
      <c r="L96" s="22">
        <f>0</f>
        <v>0</v>
      </c>
      <c r="M96" s="22">
        <f>0</f>
        <v>0</v>
      </c>
      <c r="N96" s="22">
        <f>0</f>
        <v>0</v>
      </c>
      <c r="O96" s="22">
        <f>0</f>
        <v>0</v>
      </c>
      <c r="P96" s="22">
        <f>0</f>
        <v>0</v>
      </c>
      <c r="Q96" s="22">
        <f>0</f>
        <v>0</v>
      </c>
    </row>
    <row r="97">
      <c r="A97" s="16" t="s">
        <v>171</v>
      </c>
      <c r="B97" s="17" t="s">
        <v>172</v>
      </c>
      <c r="C97" s="18">
        <f>0</f>
        <v>0</v>
      </c>
      <c r="D97" s="18">
        <f>0</f>
        <v>0</v>
      </c>
      <c r="E97" s="18">
        <f>0</f>
        <v>0</v>
      </c>
      <c r="F97" s="18">
        <f>0</f>
        <v>0</v>
      </c>
      <c r="G97" s="18">
        <f>0</f>
        <v>0</v>
      </c>
      <c r="H97" s="19">
        <f>0</f>
        <v>0</v>
      </c>
      <c r="I97" s="19">
        <f>0</f>
        <v>0</v>
      </c>
      <c r="J97" s="20">
        <f>0</f>
        <v>0</v>
      </c>
      <c r="K97" s="21">
        <f>0</f>
        <v>0</v>
      </c>
      <c r="L97" s="22">
        <f>0</f>
        <v>0</v>
      </c>
      <c r="M97" s="22">
        <f>0</f>
        <v>0</v>
      </c>
      <c r="N97" s="22">
        <f>0</f>
        <v>0</v>
      </c>
      <c r="O97" s="22">
        <f>0</f>
        <v>0</v>
      </c>
      <c r="P97" s="22">
        <f>0</f>
        <v>0</v>
      </c>
      <c r="Q97" s="22">
        <f>0</f>
        <v>0</v>
      </c>
    </row>
    <row r="98">
      <c r="A98" s="16" t="s">
        <v>173</v>
      </c>
      <c r="B98" s="17" t="s">
        <v>174</v>
      </c>
      <c r="C98" s="18">
        <f>0</f>
        <v>0</v>
      </c>
      <c r="D98" s="18">
        <f>0</f>
        <v>0</v>
      </c>
      <c r="E98" s="18">
        <f>0</f>
        <v>0</v>
      </c>
      <c r="F98" s="18">
        <f>0</f>
        <v>0</v>
      </c>
      <c r="G98" s="18">
        <f>0</f>
        <v>0</v>
      </c>
      <c r="H98" s="19">
        <f>0</f>
        <v>0</v>
      </c>
      <c r="I98" s="19">
        <f>0</f>
        <v>0</v>
      </c>
      <c r="J98" s="20">
        <f>0</f>
        <v>0</v>
      </c>
      <c r="K98" s="21">
        <f>0</f>
        <v>0</v>
      </c>
      <c r="L98" s="22">
        <f>0</f>
        <v>0</v>
      </c>
      <c r="M98" s="22">
        <f>0</f>
        <v>0</v>
      </c>
      <c r="N98" s="22">
        <f>0</f>
        <v>0</v>
      </c>
      <c r="O98" s="22">
        <f>0</f>
        <v>0</v>
      </c>
      <c r="P98" s="22">
        <f>0</f>
        <v>0</v>
      </c>
      <c r="Q98" s="22">
        <f>0</f>
        <v>0</v>
      </c>
    </row>
    <row r="99">
      <c r="A99" s="16" t="s">
        <v>175</v>
      </c>
      <c r="B99" s="17" t="s">
        <v>176</v>
      </c>
      <c r="C99" s="18">
        <f>0</f>
        <v>0</v>
      </c>
      <c r="D99" s="18">
        <f>0</f>
        <v>0</v>
      </c>
      <c r="E99" s="18">
        <f>0</f>
        <v>0</v>
      </c>
      <c r="F99" s="18">
        <f>0</f>
        <v>0</v>
      </c>
      <c r="G99" s="18">
        <f>0</f>
        <v>0</v>
      </c>
      <c r="H99" s="19">
        <f>0</f>
        <v>0</v>
      </c>
      <c r="I99" s="19">
        <f>0</f>
        <v>0</v>
      </c>
      <c r="J99" s="20">
        <f>0</f>
        <v>0</v>
      </c>
      <c r="K99" s="21">
        <f>0</f>
        <v>0</v>
      </c>
      <c r="L99" s="22">
        <f>0</f>
        <v>0</v>
      </c>
      <c r="M99" s="22">
        <f>0</f>
        <v>0</v>
      </c>
      <c r="N99" s="22">
        <f>0</f>
        <v>0</v>
      </c>
      <c r="O99" s="22">
        <f>0</f>
        <v>0</v>
      </c>
      <c r="P99" s="22">
        <f>0</f>
        <v>0</v>
      </c>
      <c r="Q99" s="22">
        <f>0</f>
        <v>0</v>
      </c>
    </row>
  </sheetData>
  <conditionalFormatting sqref="K65:Q67">
    <cfRule priority="1" stopIfTrue="1" dxfId="0" type="cellIs" operator="equal">
      <formula>"Nie spełniona"</formula>
    </cfRule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2025-12-23T11:01:06Z</dcterms:modified>
</cp:coreProperties>
</file>